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andawolf-johnston/Documents/PAC/"/>
    </mc:Choice>
  </mc:AlternateContent>
  <xr:revisionPtr revIDLastSave="0" documentId="13_ncr:1_{55D82959-7502-C04F-A041-FE6FCBF4C3FA}" xr6:coauthVersionLast="47" xr6:coauthVersionMax="47" xr10:uidLastSave="{00000000-0000-0000-0000-000000000000}"/>
  <bookViews>
    <workbookView xWindow="38540" yWindow="40" windowWidth="29460" windowHeight="17300" xr2:uid="{12422133-799C-0C47-88E9-92A336C3208B}"/>
  </bookViews>
  <sheets>
    <sheet name="Figure 1" sheetId="1" r:id="rId1"/>
    <sheet name="Figure 2ab by day" sheetId="3" r:id="rId2"/>
    <sheet name="Figure 2abcd - by animal" sheetId="4" r:id="rId3"/>
    <sheet name="Figure 2c" sheetId="5" r:id="rId4"/>
    <sheet name="Figure 2d" sheetId="13" r:id="rId5"/>
    <sheet name="Figure 2d shRNA western" sheetId="12" r:id="rId6"/>
    <sheet name="Figure 3d" sheetId="2" r:id="rId7"/>
    <sheet name="Figure 5D" sheetId="6" r:id="rId8"/>
    <sheet name="Figure 5E" sheetId="7" r:id="rId9"/>
    <sheet name="Figure 6A" sheetId="8" r:id="rId10"/>
    <sheet name="Figure 6B" sheetId="9" r:id="rId11"/>
    <sheet name="Figure 6C" sheetId="10" r:id="rId12"/>
    <sheet name="Figure 6D" sheetId="11" r:id="rId13"/>
    <sheet name="Figure 6E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3" l="1"/>
  <c r="Q16" i="13"/>
  <c r="N49" i="4"/>
  <c r="T76" i="9"/>
  <c r="S76" i="9"/>
  <c r="R76" i="9"/>
  <c r="T75" i="9"/>
  <c r="T78" i="9" s="1"/>
  <c r="S75" i="9"/>
  <c r="S78" i="9" s="1"/>
  <c r="R75" i="9"/>
  <c r="R78" i="9" s="1"/>
  <c r="R81" i="7"/>
  <c r="S79" i="7"/>
  <c r="R79" i="7"/>
  <c r="Q79" i="7"/>
  <c r="S78" i="7"/>
  <c r="X78" i="7" s="1"/>
  <c r="R78" i="7"/>
  <c r="W78" i="7" s="1"/>
  <c r="Q78" i="7"/>
  <c r="V78" i="7" s="1"/>
  <c r="T77" i="7"/>
  <c r="S77" i="7"/>
  <c r="R77" i="7"/>
  <c r="Q77" i="7"/>
  <c r="T76" i="7"/>
  <c r="Y76" i="7" s="1"/>
  <c r="S76" i="7"/>
  <c r="S81" i="7" s="1"/>
  <c r="R76" i="7"/>
  <c r="Q76" i="7"/>
  <c r="T75" i="7"/>
  <c r="S75" i="7"/>
  <c r="R75" i="7"/>
  <c r="Q75" i="7"/>
  <c r="Q81" i="7" s="1"/>
  <c r="T74" i="7"/>
  <c r="S74" i="7"/>
  <c r="R74" i="7"/>
  <c r="Q74" i="7"/>
  <c r="Y75" i="7" l="1"/>
  <c r="X75" i="7"/>
  <c r="Y74" i="7"/>
  <c r="W79" i="7"/>
  <c r="W76" i="7"/>
  <c r="X79" i="7"/>
  <c r="X77" i="7"/>
  <c r="V76" i="7"/>
  <c r="Y77" i="7"/>
  <c r="V79" i="7"/>
  <c r="W77" i="7"/>
  <c r="W74" i="7"/>
  <c r="W81" i="7" s="1"/>
  <c r="V77" i="7"/>
  <c r="V74" i="7"/>
  <c r="X74" i="7"/>
  <c r="W75" i="7"/>
  <c r="X76" i="7"/>
  <c r="T81" i="7"/>
  <c r="V75" i="7"/>
  <c r="X81" i="7" l="1"/>
  <c r="Y81" i="7"/>
  <c r="V81" i="7"/>
  <c r="E20" i="12" l="1"/>
  <c r="G70" i="6" l="1"/>
  <c r="F70" i="6"/>
  <c r="R66" i="6"/>
  <c r="Q66" i="6"/>
  <c r="P66" i="6"/>
  <c r="R64" i="6"/>
  <c r="Q64" i="6"/>
  <c r="P64" i="6"/>
  <c r="U63" i="6"/>
  <c r="T63" i="6"/>
  <c r="R63" i="6"/>
  <c r="Q63" i="6"/>
  <c r="P63" i="6"/>
  <c r="R62" i="6"/>
  <c r="Q62" i="6"/>
  <c r="P62" i="6"/>
  <c r="R61" i="6"/>
  <c r="Q61" i="6"/>
  <c r="P61" i="6"/>
  <c r="R60" i="6"/>
  <c r="Q60" i="6"/>
  <c r="P60" i="6"/>
  <c r="R59" i="6"/>
  <c r="Q59" i="6"/>
  <c r="P59" i="6"/>
  <c r="R58" i="6"/>
  <c r="Q58" i="6"/>
  <c r="P58" i="6"/>
  <c r="R57" i="6"/>
  <c r="Q57" i="6"/>
  <c r="P57" i="6"/>
  <c r="G49" i="6"/>
  <c r="F49" i="6"/>
  <c r="R45" i="6"/>
  <c r="Q45" i="6"/>
  <c r="P45" i="6"/>
  <c r="R44" i="6"/>
  <c r="Q44" i="6"/>
  <c r="P44" i="6"/>
  <c r="R42" i="6"/>
  <c r="Q42" i="6"/>
  <c r="P42" i="6"/>
  <c r="R41" i="6"/>
  <c r="Q41" i="6"/>
  <c r="P41" i="6"/>
  <c r="R40" i="6"/>
  <c r="Q40" i="6"/>
  <c r="P40" i="6"/>
  <c r="R39" i="6"/>
  <c r="Q39" i="6"/>
  <c r="P39" i="6"/>
  <c r="R38" i="6"/>
  <c r="Q38" i="6"/>
  <c r="P38" i="6"/>
  <c r="G33" i="6"/>
  <c r="U64" i="6" s="1"/>
  <c r="F33" i="6"/>
  <c r="T57" i="6" s="1"/>
  <c r="U31" i="6"/>
  <c r="R31" i="6"/>
  <c r="Q31" i="6"/>
  <c r="P31" i="6"/>
  <c r="R30" i="6"/>
  <c r="Q30" i="6"/>
  <c r="P30" i="6"/>
  <c r="R29" i="6"/>
  <c r="Q29" i="6"/>
  <c r="P29" i="6"/>
  <c r="R28" i="6"/>
  <c r="Q28" i="6"/>
  <c r="P28" i="6"/>
  <c r="R27" i="6"/>
  <c r="Q27" i="6"/>
  <c r="P27" i="6"/>
  <c r="Q68" i="6" l="1"/>
  <c r="U28" i="6"/>
  <c r="U60" i="6"/>
  <c r="R68" i="6"/>
  <c r="U44" i="6"/>
  <c r="T38" i="6"/>
  <c r="U30" i="6"/>
  <c r="U38" i="6"/>
  <c r="T62" i="6"/>
  <c r="T44" i="6"/>
  <c r="T58" i="6"/>
  <c r="U58" i="6"/>
  <c r="U62" i="6"/>
  <c r="T66" i="6"/>
  <c r="U66" i="6"/>
  <c r="T40" i="6"/>
  <c r="P47" i="6"/>
  <c r="U40" i="6"/>
  <c r="T42" i="6"/>
  <c r="T28" i="6"/>
  <c r="T31" i="6"/>
  <c r="U42" i="6"/>
  <c r="P33" i="6"/>
  <c r="P49" i="6" s="1"/>
  <c r="Q33" i="6"/>
  <c r="Q47" i="6"/>
  <c r="R47" i="6"/>
  <c r="P68" i="6"/>
  <c r="R33" i="6"/>
  <c r="U57" i="6"/>
  <c r="T60" i="6"/>
  <c r="T61" i="6"/>
  <c r="U27" i="6"/>
  <c r="T39" i="6"/>
  <c r="T59" i="6"/>
  <c r="T27" i="6"/>
  <c r="U39" i="6"/>
  <c r="T45" i="6"/>
  <c r="U59" i="6"/>
  <c r="T64" i="6"/>
  <c r="T29" i="6"/>
  <c r="U29" i="6"/>
  <c r="T41" i="6"/>
  <c r="U41" i="6"/>
  <c r="U61" i="6"/>
  <c r="T30" i="6"/>
  <c r="U45" i="6"/>
  <c r="U33" i="6" l="1"/>
  <c r="U68" i="6"/>
  <c r="U47" i="6"/>
  <c r="T33" i="6"/>
  <c r="T68" i="6"/>
  <c r="T47" i="6"/>
  <c r="K72" i="4" l="1"/>
  <c r="K81" i="4"/>
  <c r="J81" i="4"/>
  <c r="I81" i="4"/>
  <c r="H81" i="4"/>
  <c r="G81" i="4"/>
  <c r="F81" i="4"/>
  <c r="K80" i="4"/>
  <c r="J80" i="4"/>
  <c r="I80" i="4"/>
  <c r="H80" i="4"/>
  <c r="G80" i="4"/>
  <c r="F80" i="4"/>
  <c r="K77" i="4"/>
  <c r="J77" i="4"/>
  <c r="I77" i="4"/>
  <c r="H77" i="4"/>
  <c r="G77" i="4"/>
  <c r="F77" i="4"/>
  <c r="K76" i="4"/>
  <c r="J76" i="4"/>
  <c r="I76" i="4"/>
  <c r="H76" i="4"/>
  <c r="G76" i="4"/>
  <c r="F76" i="4"/>
  <c r="J72" i="4"/>
  <c r="I72" i="4"/>
  <c r="H72" i="4"/>
  <c r="G72" i="4"/>
  <c r="F72" i="4"/>
  <c r="E72" i="4"/>
  <c r="K71" i="4"/>
  <c r="J71" i="4"/>
  <c r="I71" i="4"/>
  <c r="H71" i="4"/>
  <c r="G71" i="4"/>
  <c r="F71" i="4"/>
  <c r="E71" i="4"/>
  <c r="I68" i="4"/>
  <c r="H68" i="4"/>
  <c r="E68" i="4"/>
  <c r="I67" i="4"/>
  <c r="H67" i="4"/>
  <c r="E67" i="4"/>
  <c r="I66" i="4"/>
  <c r="H66" i="4"/>
  <c r="G66" i="4"/>
  <c r="E66" i="4"/>
  <c r="I65" i="4"/>
  <c r="H65" i="4"/>
  <c r="G65" i="4"/>
  <c r="E65" i="4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L58" i="4"/>
  <c r="K56" i="4"/>
  <c r="L57" i="4"/>
  <c r="K55" i="4"/>
  <c r="L56" i="4"/>
  <c r="K54" i="4"/>
  <c r="J54" i="4"/>
  <c r="L55" i="4"/>
  <c r="K53" i="4"/>
  <c r="J53" i="4"/>
  <c r="L54" i="4"/>
  <c r="K52" i="4"/>
  <c r="J52" i="4"/>
  <c r="I52" i="4"/>
  <c r="H52" i="4"/>
  <c r="G52" i="4"/>
  <c r="L53" i="4"/>
  <c r="K51" i="4"/>
  <c r="J51" i="4"/>
  <c r="I51" i="4"/>
  <c r="H51" i="4"/>
  <c r="G51" i="4"/>
  <c r="L52" i="4"/>
  <c r="K50" i="4"/>
  <c r="J50" i="4"/>
  <c r="I50" i="4"/>
  <c r="H50" i="4"/>
  <c r="G50" i="4"/>
  <c r="L51" i="4"/>
  <c r="K49" i="4"/>
  <c r="J49" i="4"/>
  <c r="I49" i="4"/>
  <c r="H49" i="4"/>
  <c r="G49" i="4"/>
  <c r="L50" i="4"/>
  <c r="K48" i="4"/>
  <c r="I48" i="4"/>
  <c r="H48" i="4"/>
  <c r="G48" i="4"/>
  <c r="F48" i="4"/>
  <c r="E48" i="4"/>
  <c r="L49" i="4"/>
  <c r="K47" i="4"/>
  <c r="I47" i="4"/>
  <c r="H47" i="4"/>
  <c r="G47" i="4"/>
  <c r="F47" i="4"/>
  <c r="L48" i="4"/>
  <c r="K46" i="4"/>
  <c r="I46" i="4"/>
  <c r="H46" i="4"/>
  <c r="G46" i="4"/>
  <c r="F46" i="4"/>
  <c r="E46" i="4"/>
  <c r="L47" i="4"/>
  <c r="K45" i="4"/>
  <c r="I45" i="4"/>
  <c r="H45" i="4"/>
  <c r="G45" i="4"/>
  <c r="F45" i="4"/>
  <c r="E45" i="4"/>
  <c r="K39" i="4"/>
  <c r="J39" i="4"/>
  <c r="I39" i="4"/>
  <c r="H39" i="4"/>
  <c r="E39" i="4"/>
  <c r="K38" i="4"/>
  <c r="J38" i="4"/>
  <c r="I38" i="4"/>
  <c r="H38" i="4"/>
  <c r="E38" i="4"/>
  <c r="K37" i="4"/>
  <c r="J37" i="4"/>
  <c r="K36" i="4"/>
  <c r="J36" i="4"/>
  <c r="K35" i="4"/>
  <c r="J35" i="4"/>
  <c r="I35" i="4"/>
  <c r="K34" i="4"/>
  <c r="J34" i="4"/>
  <c r="I34" i="4"/>
  <c r="K33" i="4"/>
  <c r="J33" i="4"/>
  <c r="I33" i="4"/>
  <c r="H33" i="4"/>
  <c r="G33" i="4"/>
  <c r="F33" i="4"/>
  <c r="E33" i="4"/>
  <c r="K32" i="4"/>
  <c r="J32" i="4"/>
  <c r="I32" i="4"/>
  <c r="H32" i="4"/>
  <c r="G32" i="4"/>
  <c r="F32" i="4"/>
  <c r="E32" i="4"/>
  <c r="K31" i="4"/>
  <c r="J31" i="4"/>
  <c r="I31" i="4"/>
  <c r="H31" i="4"/>
  <c r="G31" i="4"/>
  <c r="F31" i="4"/>
  <c r="E31" i="4"/>
  <c r="K30" i="4"/>
  <c r="J30" i="4"/>
  <c r="I30" i="4"/>
  <c r="H30" i="4"/>
  <c r="G30" i="4"/>
  <c r="F30" i="4"/>
  <c r="E30" i="4"/>
  <c r="K29" i="4"/>
  <c r="J29" i="4"/>
  <c r="I29" i="4"/>
  <c r="H29" i="4"/>
  <c r="G29" i="4"/>
  <c r="F29" i="4"/>
  <c r="E29" i="4"/>
  <c r="T30" i="4"/>
  <c r="S30" i="4"/>
  <c r="U30" i="4" s="1"/>
  <c r="K28" i="4"/>
  <c r="J28" i="4"/>
  <c r="I28" i="4"/>
  <c r="H28" i="4"/>
  <c r="G28" i="4"/>
  <c r="F28" i="4"/>
  <c r="E28" i="4"/>
  <c r="T29" i="4"/>
  <c r="S29" i="4"/>
  <c r="U29" i="4" s="1"/>
  <c r="K27" i="4"/>
  <c r="J27" i="4"/>
  <c r="H27" i="4"/>
  <c r="G27" i="4"/>
  <c r="F27" i="4"/>
  <c r="E27" i="4"/>
  <c r="S28" i="4"/>
  <c r="K26" i="4"/>
  <c r="J26" i="4"/>
  <c r="H26" i="4"/>
  <c r="G26" i="4"/>
  <c r="F26" i="4"/>
  <c r="E26" i="4"/>
  <c r="S27" i="4"/>
  <c r="K25" i="4"/>
  <c r="J25" i="4"/>
  <c r="H25" i="4"/>
  <c r="G25" i="4"/>
  <c r="F25" i="4"/>
  <c r="E25" i="4"/>
  <c r="T26" i="4"/>
  <c r="S26" i="4"/>
  <c r="U26" i="4" s="1"/>
  <c r="K24" i="4"/>
  <c r="J24" i="4"/>
  <c r="H24" i="4"/>
  <c r="G24" i="4"/>
  <c r="F24" i="4"/>
  <c r="E24" i="4"/>
  <c r="T25" i="4"/>
  <c r="S25" i="4"/>
  <c r="U25" i="4" s="1"/>
  <c r="T24" i="4"/>
  <c r="S24" i="4"/>
  <c r="U24" i="4" s="1"/>
  <c r="T23" i="4"/>
  <c r="S23" i="4"/>
  <c r="U23" i="4" s="1"/>
  <c r="K18" i="4"/>
  <c r="J18" i="4"/>
  <c r="I18" i="4"/>
  <c r="H18" i="4"/>
  <c r="E18" i="4"/>
  <c r="K17" i="4"/>
  <c r="J17" i="4"/>
  <c r="I17" i="4"/>
  <c r="H17" i="4"/>
  <c r="E17" i="4"/>
  <c r="K14" i="4"/>
  <c r="K13" i="4"/>
  <c r="K16" i="4"/>
  <c r="J16" i="4"/>
  <c r="I16" i="4"/>
  <c r="H16" i="4"/>
  <c r="S15" i="4"/>
  <c r="K15" i="4"/>
  <c r="J15" i="4"/>
  <c r="I15" i="4"/>
  <c r="H15" i="4"/>
  <c r="S14" i="4"/>
  <c r="J14" i="4"/>
  <c r="I14" i="4"/>
  <c r="H14" i="4"/>
  <c r="S13" i="4"/>
  <c r="J13" i="4"/>
  <c r="I13" i="4"/>
  <c r="H13" i="4"/>
  <c r="S12" i="4"/>
  <c r="I12" i="4"/>
  <c r="H12" i="4"/>
  <c r="G12" i="4"/>
  <c r="F12" i="4"/>
  <c r="E12" i="4"/>
  <c r="S11" i="4"/>
  <c r="I11" i="4"/>
  <c r="H11" i="4"/>
  <c r="G11" i="4"/>
  <c r="F11" i="4"/>
  <c r="E11" i="4"/>
  <c r="S10" i="4"/>
  <c r="I10" i="4"/>
  <c r="H10" i="4"/>
  <c r="G10" i="4"/>
  <c r="F10" i="4"/>
  <c r="E10" i="4"/>
  <c r="U9" i="4"/>
  <c r="T9" i="4"/>
  <c r="S9" i="4"/>
  <c r="I9" i="4"/>
  <c r="H9" i="4"/>
  <c r="G9" i="4"/>
  <c r="F9" i="4"/>
  <c r="E9" i="4"/>
  <c r="U8" i="4"/>
  <c r="T8" i="4"/>
  <c r="S8" i="4"/>
  <c r="I8" i="4"/>
  <c r="H8" i="4"/>
  <c r="G8" i="4"/>
  <c r="F8" i="4"/>
  <c r="E8" i="4"/>
  <c r="U7" i="4"/>
  <c r="T7" i="4"/>
  <c r="S7" i="4"/>
  <c r="I7" i="4"/>
  <c r="H7" i="4"/>
  <c r="G7" i="4"/>
  <c r="F7" i="4"/>
  <c r="E7" i="4"/>
  <c r="U6" i="4"/>
  <c r="T6" i="4"/>
  <c r="S6" i="4"/>
  <c r="K6" i="4"/>
  <c r="J6" i="4"/>
  <c r="H6" i="4"/>
  <c r="G6" i="4"/>
  <c r="F6" i="4"/>
  <c r="E6" i="4"/>
  <c r="U5" i="4"/>
  <c r="T5" i="4"/>
  <c r="S5" i="4"/>
  <c r="K5" i="4"/>
  <c r="J5" i="4"/>
  <c r="H5" i="4"/>
  <c r="G5" i="4"/>
  <c r="F5" i="4"/>
  <c r="E5" i="4"/>
  <c r="U4" i="4"/>
  <c r="T4" i="4"/>
  <c r="S4" i="4"/>
  <c r="K4" i="4"/>
  <c r="J4" i="4"/>
  <c r="H4" i="4"/>
  <c r="G4" i="4"/>
  <c r="F4" i="4"/>
  <c r="E4" i="4"/>
  <c r="K3" i="4"/>
  <c r="J3" i="4"/>
  <c r="H3" i="4"/>
  <c r="G3" i="4"/>
  <c r="F3" i="4"/>
  <c r="E3" i="4"/>
  <c r="X16" i="3"/>
  <c r="X15" i="3"/>
  <c r="S7" i="3"/>
  <c r="S6" i="3"/>
  <c r="S5" i="3"/>
  <c r="S4" i="3"/>
  <c r="I126" i="2" l="1"/>
  <c r="I125" i="2"/>
  <c r="I124" i="2"/>
  <c r="I123" i="2"/>
  <c r="N122" i="2"/>
  <c r="I122" i="2"/>
  <c r="S127" i="2"/>
  <c r="N121" i="2"/>
  <c r="I121" i="2"/>
  <c r="S126" i="2"/>
  <c r="N120" i="2"/>
  <c r="I120" i="2"/>
  <c r="S125" i="2"/>
  <c r="N119" i="2"/>
  <c r="S124" i="2"/>
  <c r="N111" i="2"/>
  <c r="I111" i="2"/>
  <c r="D111" i="2"/>
  <c r="N110" i="2"/>
  <c r="I110" i="2"/>
  <c r="D110" i="2"/>
  <c r="N109" i="2"/>
  <c r="I109" i="2"/>
  <c r="D109" i="2"/>
  <c r="N108" i="2"/>
  <c r="I108" i="2"/>
  <c r="D108" i="2"/>
  <c r="N107" i="2"/>
  <c r="I107" i="2"/>
  <c r="D107" i="2"/>
  <c r="N106" i="2"/>
  <c r="I106" i="2"/>
  <c r="D106" i="2"/>
  <c r="N105" i="2"/>
  <c r="I105" i="2"/>
  <c r="D105" i="2"/>
  <c r="N104" i="2"/>
  <c r="D104" i="2"/>
  <c r="I91" i="2"/>
  <c r="D91" i="2"/>
  <c r="I90" i="2"/>
  <c r="D90" i="2"/>
  <c r="I89" i="2"/>
  <c r="D89" i="2"/>
  <c r="N88" i="2"/>
  <c r="I88" i="2"/>
  <c r="D88" i="2"/>
  <c r="N87" i="2"/>
  <c r="I87" i="2"/>
  <c r="D87" i="2"/>
  <c r="N86" i="2"/>
  <c r="I86" i="2"/>
  <c r="D86" i="2"/>
  <c r="N85" i="2"/>
  <c r="I85" i="2"/>
  <c r="D85" i="2"/>
  <c r="N84" i="2"/>
  <c r="I84" i="2"/>
  <c r="D84" i="2"/>
  <c r="I73" i="2"/>
  <c r="I72" i="2"/>
  <c r="D72" i="2"/>
  <c r="I71" i="2"/>
  <c r="D71" i="2"/>
  <c r="N70" i="2"/>
  <c r="I70" i="2"/>
  <c r="D70" i="2"/>
  <c r="N69" i="2"/>
  <c r="I69" i="2"/>
  <c r="D69" i="2"/>
  <c r="N68" i="2"/>
  <c r="I68" i="2"/>
  <c r="D68" i="2"/>
  <c r="N67" i="2"/>
  <c r="I67" i="2"/>
  <c r="D67" i="2"/>
  <c r="N66" i="2"/>
  <c r="I66" i="2"/>
  <c r="D66" i="2"/>
  <c r="N65" i="2"/>
  <c r="I65" i="2"/>
  <c r="D65" i="2"/>
  <c r="N64" i="2"/>
  <c r="I64" i="2"/>
  <c r="D64" i="2"/>
  <c r="N63" i="2"/>
  <c r="I63" i="2"/>
  <c r="D63" i="2"/>
  <c r="I51" i="2"/>
  <c r="I50" i="2"/>
  <c r="I49" i="2"/>
  <c r="N48" i="2"/>
  <c r="I48" i="2"/>
  <c r="N47" i="2"/>
  <c r="I47" i="2"/>
  <c r="D47" i="2"/>
  <c r="N46" i="2"/>
  <c r="I46" i="2"/>
  <c r="D46" i="2"/>
  <c r="N45" i="2"/>
  <c r="I45" i="2"/>
  <c r="D45" i="2"/>
  <c r="N44" i="2"/>
  <c r="I44" i="2"/>
  <c r="D44" i="2"/>
  <c r="N43" i="2"/>
  <c r="I43" i="2"/>
  <c r="D43" i="2"/>
  <c r="N42" i="2"/>
  <c r="I42" i="2"/>
  <c r="D42" i="2"/>
  <c r="N41" i="2"/>
  <c r="I41" i="2"/>
  <c r="D41" i="2"/>
  <c r="N40" i="2"/>
  <c r="I40" i="2"/>
  <c r="D40" i="2"/>
  <c r="N39" i="2"/>
  <c r="I39" i="2"/>
  <c r="D39" i="2"/>
  <c r="N38" i="2"/>
  <c r="I38" i="2"/>
  <c r="D38" i="2"/>
  <c r="N37" i="2"/>
  <c r="I37" i="2"/>
  <c r="D37" i="2"/>
  <c r="N36" i="2"/>
  <c r="I36" i="2"/>
  <c r="D36" i="2"/>
  <c r="N35" i="2"/>
  <c r="I35" i="2"/>
  <c r="D35" i="2"/>
  <c r="D19" i="2"/>
  <c r="I18" i="2"/>
  <c r="D18" i="2"/>
  <c r="I17" i="2"/>
  <c r="D17" i="2"/>
  <c r="I16" i="2"/>
  <c r="D16" i="2"/>
  <c r="N15" i="2"/>
  <c r="I15" i="2"/>
  <c r="D15" i="2"/>
  <c r="N14" i="2"/>
  <c r="I14" i="2"/>
  <c r="D14" i="2"/>
  <c r="N13" i="2"/>
  <c r="I13" i="2"/>
  <c r="D13" i="2"/>
  <c r="N12" i="2"/>
  <c r="I12" i="2"/>
  <c r="D12" i="2"/>
  <c r="N11" i="2"/>
  <c r="I11" i="2"/>
  <c r="D11" i="2"/>
  <c r="N10" i="2"/>
  <c r="I10" i="2"/>
  <c r="D10" i="2"/>
  <c r="N9" i="2"/>
  <c r="I9" i="2"/>
  <c r="D9" i="2"/>
  <c r="N8" i="2"/>
  <c r="I8" i="2"/>
  <c r="D8" i="2"/>
  <c r="N7" i="2"/>
  <c r="I7" i="2"/>
  <c r="D7" i="2"/>
  <c r="N6" i="2"/>
  <c r="I6" i="2"/>
  <c r="D6" i="2"/>
  <c r="N5" i="2"/>
  <c r="I5" i="2"/>
  <c r="D5" i="2"/>
  <c r="N4" i="2"/>
  <c r="I4" i="2"/>
  <c r="D4" i="2"/>
  <c r="N113" i="2" l="1"/>
  <c r="I114" i="2"/>
  <c r="I94" i="2"/>
  <c r="A113" i="2"/>
  <c r="N57" i="2"/>
  <c r="I75" i="2"/>
  <c r="N75" i="2"/>
  <c r="D26" i="2"/>
  <c r="D113" i="2"/>
  <c r="N129" i="2"/>
  <c r="D75" i="2"/>
  <c r="I26" i="2"/>
  <c r="S133" i="2"/>
  <c r="N93" i="2"/>
  <c r="D57" i="2"/>
  <c r="N26" i="2"/>
  <c r="I57" i="2"/>
  <c r="A93" i="2"/>
  <c r="D93" i="2"/>
  <c r="I129" i="2"/>
  <c r="P127" i="2"/>
  <c r="A75" i="2"/>
</calcChain>
</file>

<file path=xl/sharedStrings.xml><?xml version="1.0" encoding="utf-8"?>
<sst xmlns="http://schemas.openxmlformats.org/spreadsheetml/2006/main" count="1802" uniqueCount="499">
  <si>
    <t>Control</t>
  </si>
  <si>
    <t>PAC</t>
  </si>
  <si>
    <t>Post-treatment</t>
  </si>
  <si>
    <t>Number of values</t>
  </si>
  <si>
    <t>Minimum</t>
  </si>
  <si>
    <t>25% Percentile</t>
  </si>
  <si>
    <t>Median</t>
  </si>
  <si>
    <t>75% Percentile</t>
  </si>
  <si>
    <t>Maximum</t>
  </si>
  <si>
    <t>Mean</t>
  </si>
  <si>
    <t>Std. Deviation</t>
  </si>
  <si>
    <t>Std. Error of Mean</t>
  </si>
  <si>
    <t>Lower 95% CI</t>
  </si>
  <si>
    <t>Upper 95% CI</t>
  </si>
  <si>
    <t>Data is not significant with either Fisher's LSD or Tukey's</t>
  </si>
  <si>
    <t>Isoprostanes - Figure 1C</t>
  </si>
  <si>
    <t>All Sciatic Nerve</t>
  </si>
  <si>
    <t xml:space="preserve">A1295 </t>
  </si>
  <si>
    <t>slides finished 9/12/2024</t>
  </si>
  <si>
    <t>imaged 9/13-9/17/2024</t>
  </si>
  <si>
    <t>Control 9, PAC 9, post treat 8AG9</t>
  </si>
  <si>
    <t>Fibers (#)</t>
  </si>
  <si>
    <t>Length</t>
  </si>
  <si>
    <t>IENF</t>
  </si>
  <si>
    <t>3 control 1</t>
  </si>
  <si>
    <t>3 PAC 1</t>
  </si>
  <si>
    <t>3 8AG 1</t>
  </si>
  <si>
    <t>3 control 2</t>
  </si>
  <si>
    <t>6 PAC 1</t>
  </si>
  <si>
    <t>6 8AG 1</t>
  </si>
  <si>
    <t>6 control 1</t>
  </si>
  <si>
    <t>6 PAC 2</t>
  </si>
  <si>
    <t>6 8AG 2</t>
  </si>
  <si>
    <t>6 control 2</t>
  </si>
  <si>
    <t>6 PAC 3</t>
  </si>
  <si>
    <t>6 8AG 3</t>
  </si>
  <si>
    <t>6 control 3</t>
  </si>
  <si>
    <t>7 PAC 1</t>
  </si>
  <si>
    <t>6 8AG 4</t>
  </si>
  <si>
    <t>7 control 1</t>
  </si>
  <si>
    <t>7 PAC 2</t>
  </si>
  <si>
    <t>7 8AG 1</t>
  </si>
  <si>
    <t>7 control 2</t>
  </si>
  <si>
    <t>7 PAC 3</t>
  </si>
  <si>
    <t xml:space="preserve">7 8AG 2 </t>
  </si>
  <si>
    <t>7 control 3</t>
  </si>
  <si>
    <t>8 PAC 1 5</t>
  </si>
  <si>
    <t>10 8AG 1</t>
  </si>
  <si>
    <t>8 control 1</t>
  </si>
  <si>
    <t>8 PAC 1</t>
  </si>
  <si>
    <t>10 8AG 2</t>
  </si>
  <si>
    <t>10 control 1</t>
  </si>
  <si>
    <t>10 PAC 1</t>
  </si>
  <si>
    <t>10 8AG 3</t>
  </si>
  <si>
    <t>10 control 2</t>
  </si>
  <si>
    <t>10 PAC 2</t>
  </si>
  <si>
    <t>5 8AG 1</t>
  </si>
  <si>
    <t>10 control 3</t>
  </si>
  <si>
    <t>10 PAC 3</t>
  </si>
  <si>
    <t>5 8AG 3 (no 2)</t>
  </si>
  <si>
    <t>10 control 4</t>
  </si>
  <si>
    <t>5 PAC 1</t>
  </si>
  <si>
    <t>5 control 1</t>
  </si>
  <si>
    <t>5 PAC 2</t>
  </si>
  <si>
    <t>5 control 2</t>
  </si>
  <si>
    <t>5 PAC 3</t>
  </si>
  <si>
    <t>5 control 3</t>
  </si>
  <si>
    <t>A1295 b</t>
  </si>
  <si>
    <t>slides finished 9/17/2024</t>
  </si>
  <si>
    <t>imaged 9/18-20/2024</t>
  </si>
  <si>
    <t>Control 7, PAC 6, pre-treat 8AG6</t>
  </si>
  <si>
    <t>5 8AG 2</t>
  </si>
  <si>
    <t>5 8AG 3</t>
  </si>
  <si>
    <t>7 8AG 2</t>
  </si>
  <si>
    <t>7 8AG 3</t>
  </si>
  <si>
    <t>7 PAC 4</t>
  </si>
  <si>
    <t>9 8AG 1</t>
  </si>
  <si>
    <t>9 PAC 1</t>
  </si>
  <si>
    <t>9 8AG 2</t>
  </si>
  <si>
    <t>9 PAC 2</t>
  </si>
  <si>
    <t>9 PAC 3</t>
  </si>
  <si>
    <t>8 control 2</t>
  </si>
  <si>
    <t>8 8AG 1</t>
  </si>
  <si>
    <t>8 control 3</t>
  </si>
  <si>
    <t>4 8AG 1</t>
  </si>
  <si>
    <t>4 8AG 2</t>
  </si>
  <si>
    <t>8 PAC 4</t>
  </si>
  <si>
    <t>4 8AG 3</t>
  </si>
  <si>
    <t>8 PAC 3</t>
  </si>
  <si>
    <t>8 PAC 2</t>
  </si>
  <si>
    <t>A1312</t>
  </si>
  <si>
    <t>slides finished 12/18/2024</t>
  </si>
  <si>
    <t>imaged 12/18-22/2024</t>
  </si>
  <si>
    <t>Control 10, PAC 10, post-treat 8AG10</t>
  </si>
  <si>
    <t>4 control 4</t>
  </si>
  <si>
    <t>4 control 3</t>
  </si>
  <si>
    <t>4 PAC 4</t>
  </si>
  <si>
    <t>4 control 2</t>
  </si>
  <si>
    <t>4 PAC 3</t>
  </si>
  <si>
    <t>4 control 1</t>
  </si>
  <si>
    <t>4 PAC 2</t>
  </si>
  <si>
    <t>2 8AG 2</t>
  </si>
  <si>
    <t>2 control 3</t>
  </si>
  <si>
    <t>2 PAC 4</t>
  </si>
  <si>
    <t>2 8AG 1</t>
  </si>
  <si>
    <t>2 control 2</t>
  </si>
  <si>
    <t>2 PAC 3</t>
  </si>
  <si>
    <t>2 control 1</t>
  </si>
  <si>
    <t>2 PAC 2</t>
  </si>
  <si>
    <t>2 PAC 1</t>
  </si>
  <si>
    <t>A1322</t>
  </si>
  <si>
    <t>slides finished 2/18/2025</t>
  </si>
  <si>
    <t>imaged 2/19-2/21/2025</t>
  </si>
  <si>
    <t>Control 5, PAC 5, pre-treat 8AG7</t>
  </si>
  <si>
    <t>5 Control 1</t>
  </si>
  <si>
    <t>5 Control 2</t>
  </si>
  <si>
    <t>5 Control 3</t>
  </si>
  <si>
    <t>5 Control 4</t>
  </si>
  <si>
    <t>5 PAC 4</t>
  </si>
  <si>
    <t>7 8AG 4</t>
  </si>
  <si>
    <t>5 Control 5</t>
  </si>
  <si>
    <t>5 PAC 5</t>
  </si>
  <si>
    <t>7 8AG 5</t>
  </si>
  <si>
    <t>5 Control 6</t>
  </si>
  <si>
    <t>5 PAC 6</t>
  </si>
  <si>
    <t>5 Control 7</t>
  </si>
  <si>
    <t>5 PAC 7</t>
  </si>
  <si>
    <t>5 Control 8</t>
  </si>
  <si>
    <t>5 PAC 8</t>
  </si>
  <si>
    <t>Control 6, PAC 6, post-treat 8AG12</t>
  </si>
  <si>
    <t>6 Control 1</t>
  </si>
  <si>
    <t>12 8AG 1</t>
  </si>
  <si>
    <t>6 Control 2</t>
  </si>
  <si>
    <t>12 8AG 2</t>
  </si>
  <si>
    <t>6 Control 3</t>
  </si>
  <si>
    <t>12 8AG 3</t>
  </si>
  <si>
    <t>6 Control 4</t>
  </si>
  <si>
    <t>12 8AG 4</t>
  </si>
  <si>
    <t>6 Control 5</t>
  </si>
  <si>
    <t>6 PAC 4</t>
  </si>
  <si>
    <t>12 8AG 5</t>
  </si>
  <si>
    <t>6 Control 6</t>
  </si>
  <si>
    <t>6 PAC 5</t>
  </si>
  <si>
    <t>12 8AG 6</t>
  </si>
  <si>
    <t>6 Control 7</t>
  </si>
  <si>
    <t>6 PAC 6</t>
  </si>
  <si>
    <t>12 8AG 7</t>
  </si>
  <si>
    <t>6 Control 8</t>
  </si>
  <si>
    <t>6 PAC 7</t>
  </si>
  <si>
    <t>12 8AG 8</t>
  </si>
  <si>
    <t>A1327</t>
  </si>
  <si>
    <t>slides finished 3/19/2025</t>
  </si>
  <si>
    <t>imaged 3/21/2025</t>
  </si>
  <si>
    <t>Contol sections not good - clipped</t>
  </si>
  <si>
    <t>Control 18, PAC 18, pre-treat 8AG24, post-treat 8AG27</t>
  </si>
  <si>
    <t>27 8AG 1</t>
  </si>
  <si>
    <t>23 8AG 1</t>
  </si>
  <si>
    <t>27 8AG 2</t>
  </si>
  <si>
    <t>18 PAC 1</t>
  </si>
  <si>
    <t>23 8AG 2</t>
  </si>
  <si>
    <t>27 8AG 3</t>
  </si>
  <si>
    <t>18 PAC 2</t>
  </si>
  <si>
    <t>23 8AG 3</t>
  </si>
  <si>
    <t>27 8AG4</t>
  </si>
  <si>
    <t>18 PAC 3</t>
  </si>
  <si>
    <t>23 8AG 4</t>
  </si>
  <si>
    <t>18 PAC 4</t>
  </si>
  <si>
    <t>18 PAC 5</t>
  </si>
  <si>
    <t>18 PAC 6</t>
  </si>
  <si>
    <t>18 PAC 7</t>
  </si>
  <si>
    <t>Pre</t>
  </si>
  <si>
    <t>IENF Summary data</t>
  </si>
  <si>
    <t>Date began</t>
  </si>
  <si>
    <t>Cage no.</t>
  </si>
  <si>
    <t xml:space="preserve">Animal no. </t>
  </si>
  <si>
    <t>Baseline 1</t>
  </si>
  <si>
    <t>Baseline 2</t>
  </si>
  <si>
    <t>D1</t>
  </si>
  <si>
    <t>D3</t>
  </si>
  <si>
    <t>D7</t>
  </si>
  <si>
    <t>D10</t>
  </si>
  <si>
    <t>D14</t>
  </si>
  <si>
    <t>d21</t>
  </si>
  <si>
    <t>Vehicle1</t>
  </si>
  <si>
    <t>unmarked</t>
  </si>
  <si>
    <t>Vehicle2</t>
  </si>
  <si>
    <t>marked</t>
  </si>
  <si>
    <t>Vehicle3</t>
  </si>
  <si>
    <t>Vehicle4</t>
  </si>
  <si>
    <t>Vehicle5</t>
  </si>
  <si>
    <t>Vehicle6</t>
  </si>
  <si>
    <t>Vehicle7</t>
  </si>
  <si>
    <t>Vehicle8</t>
  </si>
  <si>
    <t>Vehicle9</t>
  </si>
  <si>
    <t>Vehicle10</t>
  </si>
  <si>
    <t>Vehicle 11</t>
  </si>
  <si>
    <t>Vehicle 12</t>
  </si>
  <si>
    <t>vehicle 13</t>
  </si>
  <si>
    <t>vehicle 14</t>
  </si>
  <si>
    <t>vehicle 19</t>
  </si>
  <si>
    <t>vehicle 20</t>
  </si>
  <si>
    <t>PAC1</t>
  </si>
  <si>
    <t>PAC2</t>
  </si>
  <si>
    <t>PAC3</t>
  </si>
  <si>
    <t>PAC4</t>
  </si>
  <si>
    <t>PAC5</t>
  </si>
  <si>
    <t>PAC6</t>
  </si>
  <si>
    <t>PAC7</t>
  </si>
  <si>
    <t>PAC8</t>
  </si>
  <si>
    <t>PAC9</t>
  </si>
  <si>
    <t>PAC10</t>
  </si>
  <si>
    <t>PAC11</t>
  </si>
  <si>
    <t>PAC12</t>
  </si>
  <si>
    <t>PAC13</t>
  </si>
  <si>
    <t>PAC14</t>
  </si>
  <si>
    <t>PAC19</t>
  </si>
  <si>
    <t>PAC20</t>
  </si>
  <si>
    <t>8AG1</t>
  </si>
  <si>
    <t>8AG unmarked</t>
  </si>
  <si>
    <t>8AG2</t>
  </si>
  <si>
    <t>8AG marked</t>
  </si>
  <si>
    <t>8AG3</t>
  </si>
  <si>
    <t>8AG4</t>
  </si>
  <si>
    <t>8AG5</t>
  </si>
  <si>
    <t>8AG6</t>
  </si>
  <si>
    <t>8AG7</t>
  </si>
  <si>
    <t>8AG8</t>
  </si>
  <si>
    <t>8AG13</t>
  </si>
  <si>
    <t>8AG14</t>
  </si>
  <si>
    <t>8AG15</t>
  </si>
  <si>
    <t>8AG16</t>
  </si>
  <si>
    <t>post 8AG9</t>
  </si>
  <si>
    <t>post 8AG10</t>
  </si>
  <si>
    <t>post 8AG11</t>
  </si>
  <si>
    <t>post 8AG12</t>
  </si>
  <si>
    <t>post 8AG17</t>
  </si>
  <si>
    <t>post 8AG18</t>
  </si>
  <si>
    <t>post8AG19</t>
  </si>
  <si>
    <t>post8AG20</t>
  </si>
  <si>
    <t>scrambled 21</t>
  </si>
  <si>
    <t>scrambled 22</t>
  </si>
  <si>
    <t>sh366919 28</t>
  </si>
  <si>
    <t>sh366919 29</t>
  </si>
  <si>
    <t>sh376029 30</t>
  </si>
  <si>
    <t>sh376029 31</t>
  </si>
  <si>
    <t>n number</t>
  </si>
  <si>
    <t>Baseline</t>
  </si>
  <si>
    <t>Day 3</t>
  </si>
  <si>
    <t>Day 7</t>
  </si>
  <si>
    <t>Vehicle</t>
  </si>
  <si>
    <t>8AG</t>
  </si>
  <si>
    <t>DAY 21</t>
  </si>
  <si>
    <t>Day 14</t>
  </si>
  <si>
    <t>8AG d14</t>
  </si>
  <si>
    <t>Tukeys</t>
  </si>
  <si>
    <t>ANOVA p</t>
  </si>
  <si>
    <t>PAC-Vehicle</t>
  </si>
  <si>
    <t>Pre-PAC</t>
  </si>
  <si>
    <t>Post-PAC</t>
  </si>
  <si>
    <t>Fisher's LSD</t>
  </si>
  <si>
    <t>0.0001 ***</t>
  </si>
  <si>
    <t>&lt;0.0001 ****</t>
  </si>
  <si>
    <t>0.0027 **</t>
  </si>
  <si>
    <t>0.0074 **</t>
  </si>
  <si>
    <t>0.0024 **</t>
  </si>
  <si>
    <t>0.0008 ***</t>
  </si>
  <si>
    <t>8-AG-Vehicle</t>
  </si>
  <si>
    <t>PAC-vehicle</t>
  </si>
  <si>
    <t>PAC-Pre</t>
  </si>
  <si>
    <t>Day 1</t>
  </si>
  <si>
    <t>Scrambled</t>
  </si>
  <si>
    <t>Day 21</t>
  </si>
  <si>
    <t>shRNA</t>
  </si>
  <si>
    <t>Scr-Vehicle</t>
  </si>
  <si>
    <t>Scr-shRNA</t>
  </si>
  <si>
    <t>0.0071 **</t>
  </si>
  <si>
    <t>0.0047 **</t>
  </si>
  <si>
    <t>0.0126 *</t>
  </si>
  <si>
    <t>0.0431 *</t>
  </si>
  <si>
    <t>0.0172 *</t>
  </si>
  <si>
    <t xml:space="preserve">n number </t>
  </si>
  <si>
    <t>0.0013 **</t>
  </si>
  <si>
    <t>0.0003 ***</t>
  </si>
  <si>
    <t>0.0039 **</t>
  </si>
  <si>
    <t>0.0009 ***</t>
  </si>
  <si>
    <t>0.0101 *</t>
  </si>
  <si>
    <t>0.0004 ***</t>
  </si>
  <si>
    <t>0.0166 *</t>
  </si>
  <si>
    <t>0.0001 **</t>
  </si>
  <si>
    <t>0.0063 **</t>
  </si>
  <si>
    <t>0.0007 ***</t>
  </si>
  <si>
    <t>Day 11</t>
  </si>
  <si>
    <t>FORCE</t>
  </si>
  <si>
    <t>Additional controls from CYP study</t>
  </si>
  <si>
    <t>Controls</t>
  </si>
  <si>
    <t>D21</t>
  </si>
  <si>
    <t>C48</t>
  </si>
  <si>
    <t>C49</t>
  </si>
  <si>
    <t>C50</t>
  </si>
  <si>
    <t>C51</t>
  </si>
  <si>
    <t>C52</t>
  </si>
  <si>
    <t>C53</t>
  </si>
  <si>
    <t>C54</t>
  </si>
  <si>
    <t>C55</t>
  </si>
  <si>
    <t>8-AG treatment only</t>
  </si>
  <si>
    <t>Threshold 1</t>
  </si>
  <si>
    <t>Threshold 2</t>
  </si>
  <si>
    <t>Average</t>
  </si>
  <si>
    <t>Day of treatment</t>
  </si>
  <si>
    <t>8AG78</t>
  </si>
  <si>
    <t>d13-15</t>
  </si>
  <si>
    <t>8AG79</t>
  </si>
  <si>
    <t>8AG80</t>
  </si>
  <si>
    <t>d14-16</t>
  </si>
  <si>
    <t>8AG81</t>
  </si>
  <si>
    <t>8AG82</t>
  </si>
  <si>
    <t>d7</t>
  </si>
  <si>
    <t>8AG83</t>
  </si>
  <si>
    <t>8AG84</t>
  </si>
  <si>
    <t>d7-d14</t>
  </si>
  <si>
    <t>8AG85</t>
  </si>
  <si>
    <t>Pre-treatment</t>
  </si>
  <si>
    <t>baseline used average</t>
  </si>
  <si>
    <t>Post-treatment -- began 8-AG on day 9</t>
  </si>
  <si>
    <t>Added to PAC</t>
  </si>
  <si>
    <t>0.0451*</t>
  </si>
  <si>
    <t>0.0018 **</t>
  </si>
  <si>
    <t>PAC-Post</t>
  </si>
  <si>
    <t>0.0030 **</t>
  </si>
  <si>
    <t>0.0005 ***</t>
  </si>
  <si>
    <t>0.0139 *</t>
  </si>
  <si>
    <t>GAP43</t>
  </si>
  <si>
    <t>Area</t>
  </si>
  <si>
    <t>Min</t>
  </si>
  <si>
    <t>Max</t>
  </si>
  <si>
    <t>IntDen</t>
  </si>
  <si>
    <t>RawIntDen</t>
  </si>
  <si>
    <t>DAPI</t>
  </si>
  <si>
    <t>GAP43/DAPI</t>
  </si>
  <si>
    <t>fold IntDen</t>
  </si>
  <si>
    <t>fold RawIntDen</t>
  </si>
  <si>
    <t>6 control 40x3</t>
  </si>
  <si>
    <t>6 control 40x2</t>
  </si>
  <si>
    <t>6 control 40x1</t>
  </si>
  <si>
    <t>5 control 40x2</t>
  </si>
  <si>
    <t>5 control 40x1</t>
  </si>
  <si>
    <t>6 PAC 40x4</t>
  </si>
  <si>
    <t>6 PAC 40x3</t>
  </si>
  <si>
    <t>6 PAC 40x2</t>
  </si>
  <si>
    <t>6 PAC 40x1</t>
  </si>
  <si>
    <t>5  PAC 40x1</t>
  </si>
  <si>
    <t>P18 40x3</t>
  </si>
  <si>
    <t>P18 40x1</t>
  </si>
  <si>
    <t>fold change</t>
  </si>
  <si>
    <t>6 8AG 40x4</t>
  </si>
  <si>
    <t>6 8AG 40x3</t>
  </si>
  <si>
    <t>6 8AG 40x2</t>
  </si>
  <si>
    <t>6 8AG 40x1</t>
  </si>
  <si>
    <t>5 8AG 40x2</t>
  </si>
  <si>
    <t>5 8AG 40x1</t>
  </si>
  <si>
    <t>3 8AG 40x3</t>
  </si>
  <si>
    <t>3 8AG 40x2</t>
  </si>
  <si>
    <t>8AG23 40x1</t>
  </si>
  <si>
    <t>n-number</t>
  </si>
  <si>
    <t>0.0051 **</t>
  </si>
  <si>
    <t>0.0029 **</t>
  </si>
  <si>
    <t>0.0185 *</t>
  </si>
  <si>
    <t>0.0077 **</t>
  </si>
  <si>
    <t>n numbers</t>
  </si>
  <si>
    <t>GAP-43 in sciatic nerve by western blot</t>
  </si>
  <si>
    <t>0.0200 *</t>
  </si>
  <si>
    <t>0.0188 *</t>
  </si>
  <si>
    <t>0.0478 *</t>
  </si>
  <si>
    <t>MST3b in sciatic nerve by western blot</t>
  </si>
  <si>
    <t>0.0342 *</t>
  </si>
  <si>
    <t>NOGO-A in sciatic nerve by western blot</t>
  </si>
  <si>
    <t>0.0034 **</t>
  </si>
  <si>
    <t>0.0165 *</t>
  </si>
  <si>
    <t>0.0089 **</t>
  </si>
  <si>
    <t>0.0412 *</t>
  </si>
  <si>
    <t>NMNAT2 in sciatic nerve by western blot</t>
  </si>
  <si>
    <t>0.0138 *</t>
  </si>
  <si>
    <t>0.0050 **</t>
  </si>
  <si>
    <t>0.0348 *</t>
  </si>
  <si>
    <t>0.0048 **</t>
  </si>
  <si>
    <t>0.0373 *</t>
  </si>
  <si>
    <t>Combined</t>
  </si>
  <si>
    <t>PNPase western blot in shRNA treated sciatic nerve</t>
  </si>
  <si>
    <t>Fold change in PNPase expression in shRNA treatment compared to PAC group</t>
  </si>
  <si>
    <t>0.0145*</t>
  </si>
  <si>
    <t>0.0226 *</t>
  </si>
  <si>
    <t>0.0097 **</t>
  </si>
  <si>
    <t>PAC-Control</t>
  </si>
  <si>
    <t>0.0210 *</t>
  </si>
  <si>
    <t>decreased by:</t>
  </si>
  <si>
    <t>A1354 gel 1 PNPase analysis</t>
  </si>
  <si>
    <t>Channel</t>
  </si>
  <si>
    <t>Lane</t>
  </si>
  <si>
    <t>Band No.</t>
  </si>
  <si>
    <t>Band Label</t>
  </si>
  <si>
    <t>Mol. Wt. (KDa)</t>
  </si>
  <si>
    <t>Relative Front</t>
  </si>
  <si>
    <t>Adj. Volume (Int)</t>
  </si>
  <si>
    <t>Volume (Int)</t>
  </si>
  <si>
    <t>Abs. Quant.</t>
  </si>
  <si>
    <t>Rel. Quant.</t>
  </si>
  <si>
    <t>Band %</t>
  </si>
  <si>
    <t>Lane %</t>
  </si>
  <si>
    <t>Norm. Factor</t>
  </si>
  <si>
    <t>Norm. Vol. (Int)</t>
  </si>
  <si>
    <t>Chemi Hi Sensitivity</t>
  </si>
  <si>
    <t>N/A</t>
  </si>
  <si>
    <t>C57</t>
  </si>
  <si>
    <t>C58</t>
  </si>
  <si>
    <t>CP19</t>
  </si>
  <si>
    <t>CP20</t>
  </si>
  <si>
    <t>P19</t>
  </si>
  <si>
    <t>P20</t>
  </si>
  <si>
    <t>P21</t>
  </si>
  <si>
    <t>P22</t>
  </si>
  <si>
    <t>8AG28</t>
  </si>
  <si>
    <t>8AG29</t>
  </si>
  <si>
    <t>8AG30</t>
  </si>
  <si>
    <t>8AG31</t>
  </si>
  <si>
    <t>PAC to Control</t>
  </si>
  <si>
    <t>PAC as comp</t>
  </si>
  <si>
    <t>from A1319</t>
  </si>
  <si>
    <t>A1319 gel 1 GAP43 analysis</t>
  </si>
  <si>
    <t>CP7</t>
  </si>
  <si>
    <t>CP8</t>
  </si>
  <si>
    <t>CP11</t>
  </si>
  <si>
    <t>CP12</t>
  </si>
  <si>
    <t>CP13</t>
  </si>
  <si>
    <t>CP14</t>
  </si>
  <si>
    <t>P8</t>
  </si>
  <si>
    <t>P9</t>
  </si>
  <si>
    <t>P11</t>
  </si>
  <si>
    <t>P12</t>
  </si>
  <si>
    <t>P13</t>
  </si>
  <si>
    <t>P14</t>
  </si>
  <si>
    <t>8AG11</t>
  </si>
  <si>
    <t>8AG12</t>
  </si>
  <si>
    <t>8AG17</t>
  </si>
  <si>
    <t>8AG18</t>
  </si>
  <si>
    <t>8AG19</t>
  </si>
  <si>
    <t>8AG20</t>
  </si>
  <si>
    <t>Paclitaxel</t>
  </si>
  <si>
    <t>Post</t>
  </si>
  <si>
    <t>from A1316</t>
  </si>
  <si>
    <t>A1316 GAP43 analysis</t>
  </si>
  <si>
    <t>total GAP43</t>
  </si>
  <si>
    <t>Pre-treat</t>
  </si>
  <si>
    <t>Post-treat</t>
  </si>
  <si>
    <t>CP1</t>
  </si>
  <si>
    <t>CP2</t>
  </si>
  <si>
    <t>CP3</t>
  </si>
  <si>
    <t>CP4</t>
  </si>
  <si>
    <t>CP5</t>
  </si>
  <si>
    <t>CP6</t>
  </si>
  <si>
    <t>P1</t>
  </si>
  <si>
    <t>P2</t>
  </si>
  <si>
    <t>P3</t>
  </si>
  <si>
    <t>P4</t>
  </si>
  <si>
    <t>P6</t>
  </si>
  <si>
    <t>P10</t>
  </si>
  <si>
    <t>8AG9</t>
  </si>
  <si>
    <t>8AG10</t>
  </si>
  <si>
    <t>Scrambled PAC</t>
  </si>
  <si>
    <t>shRNA PAC</t>
  </si>
  <si>
    <t>A1311 gel 3 MST3b analysis</t>
  </si>
  <si>
    <t>MST3B</t>
  </si>
  <si>
    <t>A1311 gel 1 NOGO</t>
  </si>
  <si>
    <t>NOGO</t>
  </si>
  <si>
    <t>Sciatic</t>
  </si>
  <si>
    <t>8-AG</t>
  </si>
  <si>
    <t>A1308 NOGO analysis</t>
  </si>
  <si>
    <t>A1311</t>
  </si>
  <si>
    <t>A1308</t>
  </si>
  <si>
    <t>CP5 SCN</t>
  </si>
  <si>
    <t>CP6 SCN</t>
  </si>
  <si>
    <t>P6 SCN</t>
  </si>
  <si>
    <t>P7 SCN</t>
  </si>
  <si>
    <t>8AG5 SCN</t>
  </si>
  <si>
    <t>8AG6 SCN</t>
  </si>
  <si>
    <t>Control Sciatic</t>
  </si>
  <si>
    <t>PAC Sciatic</t>
  </si>
  <si>
    <t>A1321 SN NMNAT2 analysis</t>
  </si>
  <si>
    <t>70KDa band</t>
  </si>
  <si>
    <t>Pre Treat</t>
  </si>
  <si>
    <t>Post Treat</t>
  </si>
  <si>
    <t>NAD by UPLC</t>
  </si>
  <si>
    <t>Damaging purines - Figure 1A</t>
  </si>
  <si>
    <t>Hypoxanthine + Xanthine normalized by total NAD</t>
  </si>
  <si>
    <t>ng/ng</t>
  </si>
  <si>
    <t>pg/ug protein</t>
  </si>
  <si>
    <t>Tactile von frey of hindpaws, L and R averaged</t>
  </si>
  <si>
    <t>50% thresholds</t>
  </si>
  <si>
    <t>GAP-43 Immunofluorescence in footskin</t>
  </si>
  <si>
    <t>2'3'cAMP by UPLC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</si>
</sst>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trike/>
      <sz val="12"/>
      <color theme="1"/>
      <name val="Arial"/>
      <family val="2"/>
    </font>
    <font>
      <sz val="12"/>
      <color rgb="FF000000"/>
      <name val="Arial"/>
      <family val="2"/>
    </font>
    <font>
      <strike/>
      <sz val="12"/>
      <name val="Arial"/>
      <family val="2"/>
    </font>
    <font>
      <b/>
      <sz val="16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11"/>
      <color theme="1"/>
      <name val="Calibri"/>
      <family val="2"/>
    </font>
    <font>
      <b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trike/>
      <sz val="12"/>
      <color rgb="FF000000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8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/>
    <xf numFmtId="0" fontId="5" fillId="0" borderId="4" xfId="0" applyFont="1" applyBorder="1"/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2" xfId="0" applyFont="1" applyBorder="1" applyAlignment="1">
      <alignment horizontal="left"/>
    </xf>
    <xf numFmtId="0" fontId="0" fillId="0" borderId="15" xfId="0" applyBorder="1"/>
    <xf numFmtId="0" fontId="1" fillId="0" borderId="16" xfId="0" applyFont="1" applyBorder="1"/>
    <xf numFmtId="0" fontId="7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8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10" fillId="0" borderId="13" xfId="0" applyFont="1" applyBorder="1"/>
    <xf numFmtId="0" fontId="10" fillId="0" borderId="0" xfId="0" applyFont="1"/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1" fillId="0" borderId="12" xfId="0" applyFont="1" applyBorder="1" applyAlignment="1">
      <alignment horizontal="center"/>
    </xf>
    <xf numFmtId="0" fontId="11" fillId="0" borderId="0" xfId="0" applyFont="1"/>
    <xf numFmtId="0" fontId="3" fillId="3" borderId="0" xfId="0" applyFont="1" applyFill="1"/>
    <xf numFmtId="0" fontId="12" fillId="2" borderId="0" xfId="0" applyFont="1" applyFill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right"/>
    </xf>
    <xf numFmtId="0" fontId="3" fillId="2" borderId="13" xfId="0" applyFont="1" applyFill="1" applyBorder="1"/>
    <xf numFmtId="0" fontId="5" fillId="0" borderId="0" xfId="0" applyFont="1"/>
    <xf numFmtId="0" fontId="1" fillId="0" borderId="5" xfId="0" applyFont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7" xfId="0" applyFont="1" applyBorder="1"/>
    <xf numFmtId="0" fontId="1" fillId="0" borderId="18" xfId="0" applyFont="1" applyBorder="1" applyAlignment="1">
      <alignment horizontal="center"/>
    </xf>
    <xf numFmtId="0" fontId="10" fillId="0" borderId="5" xfId="0" applyFont="1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14" fontId="0" fillId="0" borderId="4" xfId="0" applyNumberFormat="1" applyBorder="1"/>
    <xf numFmtId="0" fontId="15" fillId="0" borderId="0" xfId="0" applyFont="1"/>
    <xf numFmtId="0" fontId="1" fillId="0" borderId="4" xfId="0" applyFont="1" applyBorder="1"/>
    <xf numFmtId="0" fontId="10" fillId="0" borderId="8" xfId="0" applyFont="1" applyBorder="1"/>
    <xf numFmtId="0" fontId="16" fillId="0" borderId="0" xfId="0" applyFont="1"/>
    <xf numFmtId="0" fontId="17" fillId="0" borderId="1" xfId="0" applyFont="1" applyBorder="1"/>
    <xf numFmtId="0" fontId="16" fillId="0" borderId="4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4" borderId="15" xfId="0" applyFill="1" applyBorder="1" applyAlignment="1">
      <alignment vertical="center"/>
    </xf>
    <xf numFmtId="0" fontId="21" fillId="0" borderId="0" xfId="0" applyFont="1"/>
    <xf numFmtId="0" fontId="3" fillId="0" borderId="0" xfId="0" applyFont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7" xfId="0" applyFont="1" applyFill="1" applyBorder="1"/>
    <xf numFmtId="0" fontId="3" fillId="5" borderId="0" xfId="0" applyFont="1" applyFill="1"/>
    <xf numFmtId="0" fontId="18" fillId="6" borderId="0" xfId="0" applyFont="1" applyFill="1"/>
    <xf numFmtId="0" fontId="18" fillId="6" borderId="7" xfId="0" applyFont="1" applyFill="1" applyBorder="1"/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0" fontId="10" fillId="6" borderId="7" xfId="0" applyFont="1" applyFill="1" applyBorder="1"/>
    <xf numFmtId="0" fontId="10" fillId="6" borderId="0" xfId="0" applyFont="1" applyFill="1"/>
    <xf numFmtId="0" fontId="3" fillId="4" borderId="0" xfId="0" applyFont="1" applyFill="1" applyAlignment="1">
      <alignment vertical="center"/>
    </xf>
    <xf numFmtId="0" fontId="3" fillId="4" borderId="7" xfId="0" applyFont="1" applyFill="1" applyBorder="1"/>
    <xf numFmtId="0" fontId="3" fillId="4" borderId="0" xfId="0" applyFont="1" applyFill="1"/>
    <xf numFmtId="0" fontId="23" fillId="0" borderId="1" xfId="0" applyFont="1" applyBorder="1"/>
    <xf numFmtId="0" fontId="23" fillId="0" borderId="2" xfId="0" applyFont="1" applyBorder="1"/>
    <xf numFmtId="0" fontId="17" fillId="0" borderId="0" xfId="0" applyFont="1" applyBorder="1"/>
    <xf numFmtId="0" fontId="0" fillId="0" borderId="0" xfId="0" applyBorder="1"/>
    <xf numFmtId="0" fontId="1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2826-FC71-DF43-8DBA-F95973C33C6C}">
  <dimension ref="A1:L42"/>
  <sheetViews>
    <sheetView tabSelected="1" workbookViewId="0">
      <selection activeCell="I37" sqref="I37"/>
    </sheetView>
  </sheetViews>
  <sheetFormatPr baseColWidth="10" defaultRowHeight="16" x14ac:dyDescent="0.2"/>
  <cols>
    <col min="1" max="1" width="17.6640625" bestFit="1" customWidth="1"/>
    <col min="2" max="4" width="14" customWidth="1"/>
    <col min="8" max="8" width="19" customWidth="1"/>
    <col min="9" max="11" width="15.1640625" customWidth="1"/>
  </cols>
  <sheetData>
    <row r="1" spans="1:12" x14ac:dyDescent="0.2">
      <c r="A1" s="2"/>
      <c r="B1" s="3"/>
      <c r="C1" s="3" t="s">
        <v>492</v>
      </c>
      <c r="D1" s="3"/>
      <c r="E1" s="4"/>
      <c r="H1" s="2"/>
      <c r="I1" s="3"/>
      <c r="J1" s="3" t="s">
        <v>494</v>
      </c>
      <c r="K1" s="3"/>
      <c r="L1" s="4"/>
    </row>
    <row r="2" spans="1:12" x14ac:dyDescent="0.2">
      <c r="A2" s="5" t="s">
        <v>491</v>
      </c>
      <c r="B2" s="1"/>
      <c r="C2" s="1"/>
      <c r="D2" s="1"/>
      <c r="E2" s="6" t="s">
        <v>493</v>
      </c>
      <c r="H2" s="5" t="s">
        <v>15</v>
      </c>
      <c r="I2" s="1"/>
      <c r="J2" s="1"/>
      <c r="K2" s="1"/>
      <c r="L2" s="6"/>
    </row>
    <row r="3" spans="1:12" x14ac:dyDescent="0.2">
      <c r="A3" s="5"/>
      <c r="B3" s="7" t="s">
        <v>0</v>
      </c>
      <c r="C3" s="7" t="s">
        <v>1</v>
      </c>
      <c r="D3" s="7" t="s">
        <v>2</v>
      </c>
      <c r="E3" s="6"/>
      <c r="H3" s="5"/>
      <c r="I3" s="7" t="s">
        <v>0</v>
      </c>
      <c r="J3" s="7" t="s">
        <v>1</v>
      </c>
      <c r="K3" s="7" t="s">
        <v>2</v>
      </c>
      <c r="L3" s="6"/>
    </row>
    <row r="4" spans="1:12" x14ac:dyDescent="0.2">
      <c r="A4" s="5"/>
      <c r="B4" s="8">
        <v>1.0839784800000001</v>
      </c>
      <c r="C4" s="8">
        <v>3.9336302000000001</v>
      </c>
      <c r="D4" s="8">
        <v>0.64149387999999996</v>
      </c>
      <c r="E4" s="6"/>
      <c r="H4" s="5"/>
      <c r="I4" s="8">
        <v>13.44</v>
      </c>
      <c r="J4" s="8">
        <v>17.989999999999998</v>
      </c>
      <c r="K4" s="8">
        <v>10.029999999999999</v>
      </c>
      <c r="L4" s="6"/>
    </row>
    <row r="5" spans="1:12" x14ac:dyDescent="0.2">
      <c r="A5" s="5"/>
      <c r="B5" s="8">
        <v>2.07090898</v>
      </c>
      <c r="C5" s="8">
        <v>2.4231687599999998</v>
      </c>
      <c r="D5" s="8">
        <v>0.91500835999999997</v>
      </c>
      <c r="E5" s="6"/>
      <c r="H5" s="5"/>
      <c r="I5" s="8">
        <v>15.5</v>
      </c>
      <c r="J5" s="8">
        <v>16.559999999999999</v>
      </c>
      <c r="K5" s="8">
        <v>10.06</v>
      </c>
      <c r="L5" s="6"/>
    </row>
    <row r="6" spans="1:12" x14ac:dyDescent="0.2">
      <c r="A6" s="5"/>
      <c r="B6" s="8">
        <v>0.92579884000000001</v>
      </c>
      <c r="C6" s="35">
        <v>0.71843307999999995</v>
      </c>
      <c r="D6" s="35">
        <v>23.566936200000001</v>
      </c>
      <c r="E6" s="6"/>
      <c r="H6" s="5"/>
      <c r="I6" s="8">
        <v>11.79</v>
      </c>
      <c r="J6" s="8">
        <v>16.34</v>
      </c>
      <c r="K6" s="8">
        <v>13.82</v>
      </c>
      <c r="L6" s="6"/>
    </row>
    <row r="7" spans="1:12" x14ac:dyDescent="0.2">
      <c r="A7" s="5"/>
      <c r="B7" s="8">
        <v>1.0992321899999999</v>
      </c>
      <c r="C7" s="8">
        <v>1.40455997</v>
      </c>
      <c r="D7" s="8">
        <v>0.54612373000000003</v>
      </c>
      <c r="E7" s="6"/>
      <c r="H7" s="5"/>
      <c r="I7" s="8">
        <v>9.19</v>
      </c>
      <c r="J7" s="8">
        <v>14.06</v>
      </c>
      <c r="K7" s="8">
        <v>12.87</v>
      </c>
      <c r="L7" s="6"/>
    </row>
    <row r="8" spans="1:12" x14ac:dyDescent="0.2">
      <c r="A8" s="5"/>
      <c r="B8" s="1"/>
      <c r="C8" s="1"/>
      <c r="D8" s="1"/>
      <c r="E8" s="6"/>
      <c r="H8" s="5"/>
      <c r="I8" s="8">
        <v>8.5299999999999994</v>
      </c>
      <c r="J8" s="8">
        <v>12.48</v>
      </c>
      <c r="K8" s="8">
        <v>3.87</v>
      </c>
      <c r="L8" s="6"/>
    </row>
    <row r="9" spans="1:12" x14ac:dyDescent="0.2">
      <c r="A9" s="5"/>
      <c r="B9" s="1"/>
      <c r="C9" s="1"/>
      <c r="D9" s="1"/>
      <c r="E9" s="6"/>
      <c r="H9" s="5"/>
      <c r="I9" s="8">
        <v>4.2</v>
      </c>
      <c r="J9" s="8">
        <v>8.5299999999999994</v>
      </c>
      <c r="K9" s="16"/>
      <c r="L9" s="6"/>
    </row>
    <row r="10" spans="1:12" x14ac:dyDescent="0.2">
      <c r="A10" s="9"/>
      <c r="B10" s="7" t="s">
        <v>0</v>
      </c>
      <c r="C10" s="7" t="s">
        <v>1</v>
      </c>
      <c r="D10" s="7" t="s">
        <v>2</v>
      </c>
      <c r="E10" s="6"/>
      <c r="H10" s="5"/>
      <c r="I10" s="16"/>
      <c r="J10" s="16"/>
      <c r="K10" s="16"/>
      <c r="L10" s="6"/>
    </row>
    <row r="11" spans="1:12" x14ac:dyDescent="0.2">
      <c r="A11" s="10" t="s">
        <v>3</v>
      </c>
      <c r="B11" s="8">
        <v>4</v>
      </c>
      <c r="C11" s="8">
        <v>4</v>
      </c>
      <c r="D11" s="8">
        <v>3</v>
      </c>
      <c r="E11" s="6"/>
      <c r="H11" s="9"/>
      <c r="I11" s="7" t="s">
        <v>0</v>
      </c>
      <c r="J11" s="7" t="s">
        <v>1</v>
      </c>
      <c r="K11" s="7" t="s">
        <v>2</v>
      </c>
      <c r="L11" s="6"/>
    </row>
    <row r="12" spans="1:12" x14ac:dyDescent="0.2">
      <c r="A12" s="10"/>
      <c r="B12" s="8"/>
      <c r="C12" s="8"/>
      <c r="D12" s="8"/>
      <c r="E12" s="6"/>
      <c r="H12" s="10" t="s">
        <v>3</v>
      </c>
      <c r="I12" s="8">
        <v>6</v>
      </c>
      <c r="J12" s="8">
        <v>6</v>
      </c>
      <c r="K12" s="8">
        <v>5</v>
      </c>
      <c r="L12" s="6"/>
    </row>
    <row r="13" spans="1:12" x14ac:dyDescent="0.2">
      <c r="A13" s="10" t="s">
        <v>4</v>
      </c>
      <c r="B13" s="8">
        <v>0.92579999999999996</v>
      </c>
      <c r="C13" s="8">
        <v>1.405</v>
      </c>
      <c r="D13" s="8">
        <v>0.54610000000000003</v>
      </c>
      <c r="E13" s="6"/>
      <c r="H13" s="10"/>
      <c r="I13" s="8"/>
      <c r="J13" s="8"/>
      <c r="K13" s="8"/>
      <c r="L13" s="6"/>
    </row>
    <row r="14" spans="1:12" x14ac:dyDescent="0.2">
      <c r="A14" s="10" t="s">
        <v>5</v>
      </c>
      <c r="B14" s="8">
        <v>0.96530000000000005</v>
      </c>
      <c r="C14" s="8">
        <v>1.405</v>
      </c>
      <c r="D14" s="8">
        <v>0.54610000000000003</v>
      </c>
      <c r="E14" s="6"/>
      <c r="H14" s="10" t="s">
        <v>4</v>
      </c>
      <c r="I14" s="8">
        <v>4.2</v>
      </c>
      <c r="J14" s="8">
        <v>8.5299999999999994</v>
      </c>
      <c r="K14" s="8">
        <v>3.87</v>
      </c>
      <c r="L14" s="6"/>
    </row>
    <row r="15" spans="1:12" x14ac:dyDescent="0.2">
      <c r="A15" s="10" t="s">
        <v>6</v>
      </c>
      <c r="B15" s="8">
        <v>1.0920000000000001</v>
      </c>
      <c r="C15" s="8">
        <v>2.423</v>
      </c>
      <c r="D15" s="8">
        <v>0.64149999999999996</v>
      </c>
      <c r="E15" s="6"/>
      <c r="H15" s="10" t="s">
        <v>5</v>
      </c>
      <c r="I15" s="8">
        <v>7.4480000000000004</v>
      </c>
      <c r="J15" s="8">
        <v>11.49</v>
      </c>
      <c r="K15" s="8">
        <v>6.95</v>
      </c>
      <c r="L15" s="6"/>
    </row>
    <row r="16" spans="1:12" x14ac:dyDescent="0.2">
      <c r="A16" s="10" t="s">
        <v>7</v>
      </c>
      <c r="B16" s="8">
        <v>1.8280000000000001</v>
      </c>
      <c r="C16" s="8">
        <v>3.9340000000000002</v>
      </c>
      <c r="D16" s="8">
        <v>0.91500000000000004</v>
      </c>
      <c r="E16" s="6"/>
      <c r="H16" s="10" t="s">
        <v>6</v>
      </c>
      <c r="I16" s="8">
        <v>10.49</v>
      </c>
      <c r="J16" s="8">
        <v>15.2</v>
      </c>
      <c r="K16" s="8">
        <v>10.06</v>
      </c>
      <c r="L16" s="6"/>
    </row>
    <row r="17" spans="1:12" x14ac:dyDescent="0.2">
      <c r="A17" s="10" t="s">
        <v>8</v>
      </c>
      <c r="B17" s="8">
        <v>2.0710000000000002</v>
      </c>
      <c r="C17" s="8">
        <v>3.9340000000000002</v>
      </c>
      <c r="D17" s="8">
        <v>0.91500000000000004</v>
      </c>
      <c r="E17" s="6"/>
      <c r="H17" s="10" t="s">
        <v>7</v>
      </c>
      <c r="I17" s="8">
        <v>13.96</v>
      </c>
      <c r="J17" s="8">
        <v>16.920000000000002</v>
      </c>
      <c r="K17" s="8">
        <v>13.35</v>
      </c>
      <c r="L17" s="6"/>
    </row>
    <row r="18" spans="1:12" x14ac:dyDescent="0.2">
      <c r="A18" s="10"/>
      <c r="B18" s="8"/>
      <c r="C18" s="8"/>
      <c r="D18" s="8"/>
      <c r="E18" s="6"/>
      <c r="H18" s="10" t="s">
        <v>8</v>
      </c>
      <c r="I18" s="8">
        <v>15.5</v>
      </c>
      <c r="J18" s="8">
        <v>17.989999999999998</v>
      </c>
      <c r="K18" s="8">
        <v>13.82</v>
      </c>
      <c r="L18" s="6"/>
    </row>
    <row r="19" spans="1:12" x14ac:dyDescent="0.2">
      <c r="A19" s="10" t="s">
        <v>9</v>
      </c>
      <c r="B19" s="8">
        <v>1.2949999999999999</v>
      </c>
      <c r="C19" s="8">
        <v>2.5870000000000002</v>
      </c>
      <c r="D19" s="8">
        <v>0.70089999999999997</v>
      </c>
      <c r="E19" s="6"/>
      <c r="H19" s="10"/>
      <c r="I19" s="8"/>
      <c r="J19" s="8"/>
      <c r="K19" s="8"/>
      <c r="L19" s="6"/>
    </row>
    <row r="20" spans="1:12" x14ac:dyDescent="0.2">
      <c r="A20" s="10" t="s">
        <v>10</v>
      </c>
      <c r="B20" s="8">
        <v>0.5232</v>
      </c>
      <c r="C20" s="8">
        <v>1.272</v>
      </c>
      <c r="D20" s="8">
        <v>0.1915</v>
      </c>
      <c r="E20" s="6"/>
      <c r="H20" s="10" t="s">
        <v>9</v>
      </c>
      <c r="I20" s="8">
        <v>10.44</v>
      </c>
      <c r="J20" s="8">
        <v>14.33</v>
      </c>
      <c r="K20" s="8">
        <v>10.130000000000001</v>
      </c>
      <c r="L20" s="6"/>
    </row>
    <row r="21" spans="1:12" x14ac:dyDescent="0.2">
      <c r="A21" s="10" t="s">
        <v>11</v>
      </c>
      <c r="B21" s="8">
        <v>0.2616</v>
      </c>
      <c r="C21" s="8">
        <v>0.73470000000000002</v>
      </c>
      <c r="D21" s="8">
        <v>0.1105</v>
      </c>
      <c r="E21" s="6"/>
      <c r="H21" s="10" t="s">
        <v>10</v>
      </c>
      <c r="I21" s="8">
        <v>4.0140000000000002</v>
      </c>
      <c r="J21" s="8">
        <v>3.4510000000000001</v>
      </c>
      <c r="K21" s="8">
        <v>3.883</v>
      </c>
      <c r="L21" s="6"/>
    </row>
    <row r="22" spans="1:12" x14ac:dyDescent="0.2">
      <c r="A22" s="10"/>
      <c r="B22" s="8"/>
      <c r="C22" s="8"/>
      <c r="D22" s="8"/>
      <c r="E22" s="6"/>
      <c r="H22" s="10" t="s">
        <v>11</v>
      </c>
      <c r="I22" s="8">
        <v>1.639</v>
      </c>
      <c r="J22" s="8">
        <v>1.409</v>
      </c>
      <c r="K22" s="8">
        <v>1.7370000000000001</v>
      </c>
      <c r="L22" s="6"/>
    </row>
    <row r="23" spans="1:12" x14ac:dyDescent="0.2">
      <c r="A23" s="10" t="s">
        <v>12</v>
      </c>
      <c r="B23" s="8">
        <v>0.46250000000000002</v>
      </c>
      <c r="C23" s="8">
        <v>-0.57389999999999997</v>
      </c>
      <c r="D23" s="8">
        <v>0.22520000000000001</v>
      </c>
      <c r="E23" s="6"/>
      <c r="H23" s="10"/>
      <c r="I23" s="8"/>
      <c r="J23" s="8"/>
      <c r="K23" s="8"/>
      <c r="L23" s="6"/>
    </row>
    <row r="24" spans="1:12" x14ac:dyDescent="0.2">
      <c r="A24" s="10" t="s">
        <v>13</v>
      </c>
      <c r="B24" s="8">
        <v>2.1269999999999998</v>
      </c>
      <c r="C24" s="8">
        <v>5.7480000000000002</v>
      </c>
      <c r="D24" s="8">
        <v>1.177</v>
      </c>
      <c r="E24" s="6"/>
      <c r="H24" s="10" t="s">
        <v>12</v>
      </c>
      <c r="I24" s="8">
        <v>6.2290000000000001</v>
      </c>
      <c r="J24" s="8">
        <v>10.71</v>
      </c>
      <c r="K24" s="8">
        <v>5.3079999999999998</v>
      </c>
      <c r="L24" s="6"/>
    </row>
    <row r="25" spans="1:12" x14ac:dyDescent="0.2">
      <c r="A25" s="5"/>
      <c r="B25" s="1"/>
      <c r="C25" s="1"/>
      <c r="D25" s="1"/>
      <c r="E25" s="6"/>
      <c r="H25" s="10" t="s">
        <v>13</v>
      </c>
      <c r="I25" s="8">
        <v>14.65</v>
      </c>
      <c r="J25" s="8">
        <v>17.95</v>
      </c>
      <c r="K25" s="8">
        <v>14.95</v>
      </c>
      <c r="L25" s="6"/>
    </row>
    <row r="26" spans="1:12" x14ac:dyDescent="0.2">
      <c r="A26" s="5"/>
      <c r="B26" s="1"/>
      <c r="C26" s="1"/>
      <c r="D26" s="1"/>
      <c r="E26" s="6"/>
      <c r="H26" s="5"/>
      <c r="I26" s="1"/>
      <c r="J26" s="1"/>
      <c r="K26" s="1"/>
      <c r="L26" s="6"/>
    </row>
    <row r="27" spans="1:12" x14ac:dyDescent="0.2">
      <c r="A27" s="15"/>
      <c r="B27" s="49"/>
      <c r="C27" s="49"/>
      <c r="D27" s="49"/>
      <c r="E27" s="6"/>
      <c r="H27" s="15" t="s">
        <v>14</v>
      </c>
      <c r="I27" s="1"/>
      <c r="J27" s="1"/>
      <c r="K27" s="1"/>
      <c r="L27" s="6"/>
    </row>
    <row r="28" spans="1:12" x14ac:dyDescent="0.2">
      <c r="A28" s="5"/>
      <c r="B28" s="1"/>
      <c r="C28" s="1"/>
      <c r="D28" s="1"/>
      <c r="E28" s="6"/>
      <c r="H28" s="5"/>
      <c r="I28" s="1"/>
      <c r="J28" s="1"/>
      <c r="K28" s="1"/>
      <c r="L28" s="6"/>
    </row>
    <row r="29" spans="1:12" x14ac:dyDescent="0.2">
      <c r="A29" s="5"/>
      <c r="B29" s="1" t="s">
        <v>255</v>
      </c>
      <c r="C29" s="1" t="s">
        <v>256</v>
      </c>
      <c r="D29" s="1" t="s">
        <v>258</v>
      </c>
      <c r="E29" s="6"/>
      <c r="H29" s="5"/>
      <c r="I29" s="1" t="s">
        <v>255</v>
      </c>
      <c r="J29" s="1" t="s">
        <v>256</v>
      </c>
      <c r="K29" s="1" t="s">
        <v>258</v>
      </c>
      <c r="L29" s="6"/>
    </row>
    <row r="30" spans="1:12" x14ac:dyDescent="0.2">
      <c r="A30" s="5" t="s">
        <v>254</v>
      </c>
      <c r="B30" s="1">
        <v>1.7000000000000001E-2</v>
      </c>
      <c r="C30" s="8">
        <v>0.11269999999999999</v>
      </c>
      <c r="D30" s="8">
        <v>2.5999999999999999E-2</v>
      </c>
      <c r="E30" s="50"/>
      <c r="H30" s="5" t="s">
        <v>254</v>
      </c>
      <c r="I30" s="1">
        <v>0.1217</v>
      </c>
      <c r="J30" s="8">
        <v>0.2452</v>
      </c>
      <c r="K30" s="8">
        <v>0.22359999999999999</v>
      </c>
      <c r="L30" s="52"/>
    </row>
    <row r="31" spans="1:12" ht="17" thickBot="1" x14ac:dyDescent="0.25">
      <c r="A31" s="11" t="s">
        <v>259</v>
      </c>
      <c r="B31" s="12"/>
      <c r="C31" s="12">
        <v>2.93E-2</v>
      </c>
      <c r="D31" s="12">
        <v>6.0000000000000001E-3</v>
      </c>
      <c r="E31" s="13"/>
      <c r="H31" s="11" t="s">
        <v>259</v>
      </c>
      <c r="I31" s="12"/>
      <c r="J31" s="12">
        <v>6.7599999999999993E-2</v>
      </c>
      <c r="K31" s="12">
        <v>6.0499999999999998E-2</v>
      </c>
      <c r="L31" s="55"/>
    </row>
    <row r="32" spans="1:12" x14ac:dyDescent="0.2">
      <c r="A32" s="1"/>
      <c r="B32" s="1"/>
      <c r="C32" s="1"/>
      <c r="D32" s="1"/>
      <c r="E32" s="1"/>
      <c r="H32" s="1"/>
      <c r="I32" s="1"/>
      <c r="J32" s="1"/>
      <c r="K32" s="1"/>
      <c r="L32" s="1"/>
    </row>
    <row r="33" spans="3:12" x14ac:dyDescent="0.2">
      <c r="H33" s="1"/>
      <c r="I33" s="1"/>
      <c r="J33" s="1"/>
      <c r="K33" s="1"/>
      <c r="L33" s="1"/>
    </row>
    <row r="34" spans="3:12" x14ac:dyDescent="0.2">
      <c r="H34" s="1"/>
      <c r="I34" s="1"/>
      <c r="J34" s="1"/>
      <c r="K34" s="1"/>
      <c r="L34" s="1"/>
    </row>
    <row r="35" spans="3:12" x14ac:dyDescent="0.2">
      <c r="H35" s="1"/>
      <c r="I35" s="1"/>
      <c r="J35" s="1"/>
      <c r="K35" s="1"/>
      <c r="L35" s="1"/>
    </row>
    <row r="36" spans="3:12" x14ac:dyDescent="0.2">
      <c r="H36" s="1"/>
      <c r="I36" s="1"/>
      <c r="J36" s="1"/>
      <c r="K36" s="1"/>
      <c r="L36" s="1"/>
    </row>
    <row r="37" spans="3:12" ht="23" x14ac:dyDescent="0.25">
      <c r="C37" s="14" t="s">
        <v>16</v>
      </c>
      <c r="H37" s="1"/>
      <c r="I37" s="1"/>
      <c r="J37" s="1"/>
      <c r="K37" s="1"/>
      <c r="L37" s="1"/>
    </row>
    <row r="38" spans="3:12" x14ac:dyDescent="0.2">
      <c r="H38" s="1"/>
      <c r="I38" s="1"/>
      <c r="J38" s="1"/>
      <c r="K38" s="1"/>
      <c r="L38" s="1"/>
    </row>
    <row r="39" spans="3:12" x14ac:dyDescent="0.2">
      <c r="H39" s="1"/>
      <c r="I39" s="1"/>
      <c r="J39" s="1"/>
      <c r="K39" s="1"/>
      <c r="L39" s="1"/>
    </row>
    <row r="40" spans="3:12" x14ac:dyDescent="0.2">
      <c r="H40" s="1"/>
      <c r="I40" s="1"/>
      <c r="J40" s="1"/>
      <c r="K40" s="1"/>
      <c r="L40" s="1"/>
    </row>
    <row r="41" spans="3:12" x14ac:dyDescent="0.2">
      <c r="H41" s="1"/>
      <c r="I41" s="1"/>
      <c r="J41" s="1"/>
      <c r="K41" s="1"/>
      <c r="L41" s="1"/>
    </row>
    <row r="42" spans="3:12" x14ac:dyDescent="0.2">
      <c r="H42" s="1"/>
      <c r="I42" s="1"/>
      <c r="J42" s="1"/>
      <c r="K42" s="1"/>
      <c r="L4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76CD-9F71-0D46-AAD8-EA4EE40EA6A6}">
  <dimension ref="A1:Y64"/>
  <sheetViews>
    <sheetView workbookViewId="0">
      <selection activeCell="O70" sqref="O70"/>
    </sheetView>
  </sheetViews>
  <sheetFormatPr baseColWidth="10" defaultRowHeight="16" x14ac:dyDescent="0.2"/>
  <cols>
    <col min="2" max="2" width="11.33203125" bestFit="1" customWidth="1"/>
    <col min="3" max="3" width="12.83203125" bestFit="1" customWidth="1"/>
    <col min="4" max="4" width="14.33203125" bestFit="1" customWidth="1"/>
  </cols>
  <sheetData>
    <row r="1" spans="1:5" ht="19" x14ac:dyDescent="0.25">
      <c r="A1" s="68" t="s">
        <v>373</v>
      </c>
      <c r="B1" s="60"/>
      <c r="C1" s="60"/>
      <c r="D1" s="60"/>
      <c r="E1" s="51"/>
    </row>
    <row r="2" spans="1:5" x14ac:dyDescent="0.2">
      <c r="A2" s="69"/>
      <c r="B2" s="67"/>
      <c r="C2" s="67"/>
      <c r="D2" s="67"/>
      <c r="E2" s="70"/>
    </row>
    <row r="3" spans="1:5" x14ac:dyDescent="0.2">
      <c r="A3" s="61"/>
      <c r="B3" s="7" t="s">
        <v>0</v>
      </c>
      <c r="C3" s="7" t="s">
        <v>1</v>
      </c>
      <c r="D3" s="7" t="s">
        <v>2</v>
      </c>
      <c r="E3" s="52"/>
    </row>
    <row r="4" spans="1:5" x14ac:dyDescent="0.2">
      <c r="A4" s="61"/>
      <c r="B4" s="8">
        <v>0.95101800000000003</v>
      </c>
      <c r="C4" s="8">
        <v>0.46130500000000002</v>
      </c>
      <c r="D4" s="8">
        <v>0.52978899999999995</v>
      </c>
      <c r="E4" s="52"/>
    </row>
    <row r="5" spans="1:5" x14ac:dyDescent="0.2">
      <c r="A5" s="61"/>
      <c r="B5" s="8">
        <v>1.2580979999999999</v>
      </c>
      <c r="C5" s="35">
        <v>0.96313499999999996</v>
      </c>
      <c r="D5" s="8">
        <v>0.52359900000000004</v>
      </c>
      <c r="E5" s="52"/>
    </row>
    <row r="6" spans="1:5" x14ac:dyDescent="0.2">
      <c r="A6" s="61"/>
      <c r="B6" s="8">
        <v>1.1409069999999999</v>
      </c>
      <c r="C6" s="8">
        <v>0.51533600000000002</v>
      </c>
      <c r="D6" s="8">
        <v>0.55415099999999995</v>
      </c>
      <c r="E6" s="52"/>
    </row>
    <row r="7" spans="1:5" x14ac:dyDescent="0.2">
      <c r="A7" s="61"/>
      <c r="B7" s="8">
        <v>0.87185800000000002</v>
      </c>
      <c r="C7" s="8">
        <v>0.47112700000000002</v>
      </c>
      <c r="D7" s="8">
        <v>0.67708400000000002</v>
      </c>
      <c r="E7" s="52"/>
    </row>
    <row r="8" spans="1:5" x14ac:dyDescent="0.2">
      <c r="A8" s="61"/>
      <c r="B8" s="8">
        <v>1.1608769999999999</v>
      </c>
      <c r="C8" s="8">
        <v>0.30261700000000002</v>
      </c>
      <c r="D8" s="8">
        <v>0.87726000000000004</v>
      </c>
      <c r="E8" s="52"/>
    </row>
    <row r="9" spans="1:5" x14ac:dyDescent="0.2">
      <c r="A9" s="61"/>
      <c r="B9" s="8">
        <v>0.61724299999999999</v>
      </c>
      <c r="C9" s="8">
        <v>0.341171</v>
      </c>
      <c r="D9" s="8">
        <v>1.154892</v>
      </c>
      <c r="E9" s="52"/>
    </row>
    <row r="10" spans="1:5" x14ac:dyDescent="0.2">
      <c r="A10" s="61"/>
      <c r="B10" s="8"/>
      <c r="C10" s="8"/>
      <c r="E10" s="52"/>
    </row>
    <row r="11" spans="1:5" x14ac:dyDescent="0.2">
      <c r="A11" s="61"/>
      <c r="B11" s="16"/>
      <c r="C11" s="8"/>
      <c r="E11" s="52"/>
    </row>
    <row r="12" spans="1:5" x14ac:dyDescent="0.2">
      <c r="A12" s="61"/>
      <c r="B12" s="8"/>
      <c r="C12" s="8"/>
      <c r="E12" s="52"/>
    </row>
    <row r="13" spans="1:5" x14ac:dyDescent="0.2">
      <c r="A13" s="61"/>
      <c r="B13" s="8"/>
      <c r="C13" s="8"/>
      <c r="E13" s="52"/>
    </row>
    <row r="14" spans="1:5" x14ac:dyDescent="0.2">
      <c r="A14" s="61"/>
      <c r="B14" s="8"/>
      <c r="C14" s="8"/>
      <c r="E14" s="52"/>
    </row>
    <row r="15" spans="1:5" x14ac:dyDescent="0.2">
      <c r="A15" s="61"/>
      <c r="B15" s="8"/>
      <c r="C15" s="8"/>
      <c r="E15" s="52"/>
    </row>
    <row r="16" spans="1:5" x14ac:dyDescent="0.2">
      <c r="A16" s="61"/>
      <c r="E16" s="52"/>
    </row>
    <row r="17" spans="1:5" x14ac:dyDescent="0.2">
      <c r="A17" s="61"/>
      <c r="E17" s="52"/>
    </row>
    <row r="18" spans="1:5" x14ac:dyDescent="0.2">
      <c r="A18" s="61"/>
      <c r="E18" s="52"/>
    </row>
    <row r="19" spans="1:5" x14ac:dyDescent="0.2">
      <c r="A19" s="61"/>
      <c r="E19" s="52"/>
    </row>
    <row r="20" spans="1:5" x14ac:dyDescent="0.2">
      <c r="A20" s="61"/>
      <c r="E20" s="52"/>
    </row>
    <row r="21" spans="1:5" x14ac:dyDescent="0.2">
      <c r="A21" s="61" t="s">
        <v>368</v>
      </c>
      <c r="B21">
        <v>6</v>
      </c>
      <c r="C21">
        <v>5</v>
      </c>
      <c r="D21">
        <v>6</v>
      </c>
      <c r="E21" s="52"/>
    </row>
    <row r="22" spans="1:5" x14ac:dyDescent="0.2">
      <c r="A22" s="61"/>
      <c r="E22" s="52"/>
    </row>
    <row r="23" spans="1:5" x14ac:dyDescent="0.2">
      <c r="A23" s="10" t="s">
        <v>9</v>
      </c>
      <c r="B23" s="8">
        <v>1</v>
      </c>
      <c r="C23" s="8">
        <v>0.41830000000000001</v>
      </c>
      <c r="D23" s="8">
        <v>0.71950000000000003</v>
      </c>
      <c r="E23" s="50"/>
    </row>
    <row r="24" spans="1:5" x14ac:dyDescent="0.2">
      <c r="A24" s="10" t="s">
        <v>10</v>
      </c>
      <c r="B24" s="8">
        <v>0.23569999999999999</v>
      </c>
      <c r="C24" s="8">
        <v>9.1359999999999997E-2</v>
      </c>
      <c r="D24" s="8">
        <v>0.25219999999999998</v>
      </c>
      <c r="E24" s="50"/>
    </row>
    <row r="25" spans="1:5" x14ac:dyDescent="0.2">
      <c r="A25" s="10" t="s">
        <v>11</v>
      </c>
      <c r="B25" s="8">
        <v>9.6210000000000004E-2</v>
      </c>
      <c r="C25" s="8">
        <v>4.086E-2</v>
      </c>
      <c r="D25" s="8">
        <v>0.10299999999999999</v>
      </c>
      <c r="E25" s="50"/>
    </row>
    <row r="26" spans="1:5" x14ac:dyDescent="0.2">
      <c r="A26" s="61"/>
      <c r="E26" s="52"/>
    </row>
    <row r="27" spans="1:5" x14ac:dyDescent="0.2">
      <c r="A27" s="61"/>
      <c r="E27" s="52"/>
    </row>
    <row r="28" spans="1:5" x14ac:dyDescent="0.2">
      <c r="A28" s="61"/>
      <c r="E28" s="52"/>
    </row>
    <row r="29" spans="1:5" x14ac:dyDescent="0.2">
      <c r="A29" s="61"/>
      <c r="E29" s="52"/>
    </row>
    <row r="30" spans="1:5" x14ac:dyDescent="0.2">
      <c r="A30" s="5"/>
      <c r="B30" s="1" t="s">
        <v>255</v>
      </c>
      <c r="C30" s="1" t="s">
        <v>256</v>
      </c>
      <c r="D30" s="1" t="s">
        <v>327</v>
      </c>
      <c r="E30" s="6"/>
    </row>
    <row r="31" spans="1:5" x14ac:dyDescent="0.2">
      <c r="A31" s="5" t="s">
        <v>254</v>
      </c>
      <c r="B31" s="1">
        <v>1.8E-3</v>
      </c>
      <c r="C31" s="1" t="s">
        <v>281</v>
      </c>
      <c r="D31" s="1">
        <v>8.1900000000000001E-2</v>
      </c>
      <c r="E31" s="6"/>
    </row>
    <row r="32" spans="1:5" x14ac:dyDescent="0.2">
      <c r="A32" s="5" t="s">
        <v>259</v>
      </c>
      <c r="B32" s="1"/>
      <c r="C32" s="1" t="s">
        <v>329</v>
      </c>
      <c r="D32" s="1" t="s">
        <v>374</v>
      </c>
      <c r="E32" s="58"/>
    </row>
    <row r="33" spans="1:25" ht="17" thickBot="1" x14ac:dyDescent="0.25">
      <c r="A33" s="53"/>
      <c r="B33" s="54"/>
      <c r="C33" s="54"/>
      <c r="D33" s="54"/>
      <c r="E33" s="55"/>
    </row>
    <row r="39" spans="1:25" x14ac:dyDescent="0.2">
      <c r="B39" s="78" t="s">
        <v>469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1:25" x14ac:dyDescent="0.2">
      <c r="B40" t="s">
        <v>396</v>
      </c>
      <c r="C40" t="s">
        <v>397</v>
      </c>
      <c r="D40" t="s">
        <v>398</v>
      </c>
      <c r="E40" t="s">
        <v>399</v>
      </c>
      <c r="F40" t="s">
        <v>400</v>
      </c>
      <c r="G40" t="s">
        <v>401</v>
      </c>
      <c r="H40" t="s">
        <v>402</v>
      </c>
      <c r="I40" t="s">
        <v>403</v>
      </c>
      <c r="J40" t="s">
        <v>404</v>
      </c>
      <c r="K40" t="s">
        <v>405</v>
      </c>
      <c r="L40" t="s">
        <v>406</v>
      </c>
      <c r="M40" t="s">
        <v>407</v>
      </c>
      <c r="N40" t="s">
        <v>408</v>
      </c>
      <c r="O40" t="s">
        <v>409</v>
      </c>
      <c r="Q40" t="s">
        <v>470</v>
      </c>
    </row>
    <row r="41" spans="1:25" x14ac:dyDescent="0.2">
      <c r="A41" t="s">
        <v>0</v>
      </c>
      <c r="B41" s="79" t="s">
        <v>428</v>
      </c>
      <c r="C41">
        <v>1</v>
      </c>
      <c r="D41">
        <v>1</v>
      </c>
      <c r="F41" t="s">
        <v>411</v>
      </c>
      <c r="G41">
        <v>0.36684800000000001</v>
      </c>
      <c r="H41">
        <v>6790416</v>
      </c>
      <c r="I41">
        <v>13842288</v>
      </c>
      <c r="J41" t="s">
        <v>411</v>
      </c>
      <c r="K41" t="s">
        <v>411</v>
      </c>
      <c r="L41">
        <v>100</v>
      </c>
      <c r="M41">
        <v>43.208827999999997</v>
      </c>
      <c r="N41">
        <v>1</v>
      </c>
      <c r="O41">
        <v>6790416</v>
      </c>
    </row>
    <row r="42" spans="1:25" x14ac:dyDescent="0.2">
      <c r="B42" s="80" t="s">
        <v>429</v>
      </c>
      <c r="C42">
        <v>2</v>
      </c>
      <c r="D42">
        <v>1</v>
      </c>
      <c r="F42" t="s">
        <v>411</v>
      </c>
      <c r="G42">
        <v>0.37669399999999997</v>
      </c>
      <c r="H42">
        <v>8128896</v>
      </c>
      <c r="I42">
        <v>16545792</v>
      </c>
      <c r="J42" t="s">
        <v>411</v>
      </c>
      <c r="K42" t="s">
        <v>411</v>
      </c>
      <c r="L42">
        <v>100</v>
      </c>
      <c r="M42">
        <v>48.461609000000003</v>
      </c>
      <c r="N42">
        <v>1.105073</v>
      </c>
      <c r="O42">
        <v>8983022</v>
      </c>
      <c r="Q42" t="s">
        <v>0</v>
      </c>
      <c r="R42" t="s">
        <v>1</v>
      </c>
      <c r="S42" t="s">
        <v>170</v>
      </c>
      <c r="T42" t="s">
        <v>447</v>
      </c>
      <c r="V42" t="s">
        <v>0</v>
      </c>
      <c r="W42" t="s">
        <v>1</v>
      </c>
      <c r="X42" t="s">
        <v>170</v>
      </c>
      <c r="Y42" t="s">
        <v>447</v>
      </c>
    </row>
    <row r="43" spans="1:25" x14ac:dyDescent="0.2">
      <c r="B43" s="79" t="s">
        <v>430</v>
      </c>
      <c r="C43">
        <v>3</v>
      </c>
      <c r="D43">
        <v>1</v>
      </c>
      <c r="F43" t="s">
        <v>411</v>
      </c>
      <c r="G43">
        <v>0.38274900000000001</v>
      </c>
      <c r="H43">
        <v>8966256</v>
      </c>
      <c r="I43">
        <v>18121392</v>
      </c>
      <c r="J43" t="s">
        <v>411</v>
      </c>
      <c r="K43" t="s">
        <v>411</v>
      </c>
      <c r="L43">
        <v>100</v>
      </c>
      <c r="M43">
        <v>49.071874999999999</v>
      </c>
      <c r="N43">
        <v>0.90854599999999996</v>
      </c>
      <c r="O43">
        <v>8146254</v>
      </c>
      <c r="Q43">
        <v>67.904160000000005</v>
      </c>
      <c r="R43">
        <v>32.937899999999999</v>
      </c>
      <c r="S43">
        <v>34.604790000000001</v>
      </c>
      <c r="T43">
        <v>37.827779999999997</v>
      </c>
      <c r="V43">
        <v>0.95101758833587013</v>
      </c>
      <c r="W43">
        <v>0.46130490713452688</v>
      </c>
      <c r="X43">
        <v>0.48465018830465223</v>
      </c>
      <c r="Y43">
        <v>0.52978910434500415</v>
      </c>
    </row>
    <row r="44" spans="1:25" x14ac:dyDescent="0.2">
      <c r="B44" s="80" t="s">
        <v>431</v>
      </c>
      <c r="C44">
        <v>4</v>
      </c>
      <c r="D44">
        <v>1</v>
      </c>
      <c r="F44" t="s">
        <v>411</v>
      </c>
      <c r="G44">
        <v>0.39410200000000001</v>
      </c>
      <c r="H44">
        <v>6729744</v>
      </c>
      <c r="I44">
        <v>14755488</v>
      </c>
      <c r="J44" t="s">
        <v>411</v>
      </c>
      <c r="K44" t="s">
        <v>411</v>
      </c>
      <c r="L44">
        <v>100</v>
      </c>
      <c r="M44">
        <v>40.640788999999998</v>
      </c>
      <c r="N44">
        <v>0.92502799999999996</v>
      </c>
      <c r="O44">
        <v>6225201</v>
      </c>
      <c r="Q44">
        <v>89.830219999999997</v>
      </c>
      <c r="R44">
        <v>68.769350000000003</v>
      </c>
      <c r="S44">
        <v>40.432090000000002</v>
      </c>
      <c r="T44">
        <v>37.385770000000001</v>
      </c>
      <c r="V44">
        <v>1.2580984608907708</v>
      </c>
      <c r="W44">
        <v>0.96313482691524888</v>
      </c>
      <c r="X44">
        <v>0.56626322633515902</v>
      </c>
      <c r="Y44">
        <v>0.52359862523120115</v>
      </c>
    </row>
    <row r="45" spans="1:25" x14ac:dyDescent="0.2">
      <c r="B45" s="79" t="s">
        <v>432</v>
      </c>
      <c r="C45">
        <v>5</v>
      </c>
      <c r="D45">
        <v>1</v>
      </c>
      <c r="F45" t="s">
        <v>411</v>
      </c>
      <c r="G45">
        <v>0.40106999999999998</v>
      </c>
      <c r="H45">
        <v>8672832</v>
      </c>
      <c r="I45">
        <v>17444064</v>
      </c>
      <c r="J45" t="s">
        <v>411</v>
      </c>
      <c r="K45" t="s">
        <v>411</v>
      </c>
      <c r="L45">
        <v>100</v>
      </c>
      <c r="M45">
        <v>46.620910000000002</v>
      </c>
      <c r="N45">
        <v>0.95572500000000005</v>
      </c>
      <c r="O45">
        <v>8288844</v>
      </c>
      <c r="Q45">
        <v>81.462540000000004</v>
      </c>
      <c r="R45">
        <v>36.795789999999997</v>
      </c>
      <c r="S45">
        <v>51.827930000000002</v>
      </c>
      <c r="T45">
        <v>39.567239999999998</v>
      </c>
      <c r="V45">
        <v>1.1409066591872186</v>
      </c>
      <c r="W45">
        <v>0.51533578306120154</v>
      </c>
      <c r="X45">
        <v>0.7258652930400773</v>
      </c>
      <c r="Y45">
        <v>0.55415074955505772</v>
      </c>
    </row>
    <row r="46" spans="1:25" ht="17" thickBot="1" x14ac:dyDescent="0.25">
      <c r="B46" s="81" t="s">
        <v>433</v>
      </c>
      <c r="C46">
        <v>6</v>
      </c>
      <c r="D46">
        <v>1</v>
      </c>
      <c r="F46" t="s">
        <v>411</v>
      </c>
      <c r="G46">
        <v>0.40159600000000001</v>
      </c>
      <c r="H46">
        <v>5195664</v>
      </c>
      <c r="I46">
        <v>12302208</v>
      </c>
      <c r="J46" t="s">
        <v>411</v>
      </c>
      <c r="K46" t="s">
        <v>411</v>
      </c>
      <c r="L46">
        <v>100</v>
      </c>
      <c r="M46">
        <v>36.089060000000003</v>
      </c>
      <c r="N46">
        <v>0.848248</v>
      </c>
      <c r="O46">
        <v>4407212</v>
      </c>
      <c r="Q46">
        <v>62.252009999999999</v>
      </c>
      <c r="R46">
        <v>33.639200000000002</v>
      </c>
      <c r="S46">
        <v>56.822450000000003</v>
      </c>
      <c r="T46">
        <v>48.344889999999999</v>
      </c>
      <c r="V46">
        <v>0.87185757719792822</v>
      </c>
      <c r="W46">
        <v>0.47112681840918147</v>
      </c>
      <c r="X46">
        <v>0.79581500400469662</v>
      </c>
      <c r="Y46">
        <v>0.67708430081695914</v>
      </c>
    </row>
    <row r="47" spans="1:25" x14ac:dyDescent="0.2">
      <c r="A47" t="s">
        <v>1</v>
      </c>
      <c r="B47" s="1" t="s">
        <v>434</v>
      </c>
      <c r="C47">
        <v>7</v>
      </c>
      <c r="D47">
        <v>1</v>
      </c>
      <c r="F47" t="s">
        <v>411</v>
      </c>
      <c r="G47">
        <v>0.40425499999999998</v>
      </c>
      <c r="H47">
        <v>3777648</v>
      </c>
      <c r="I47">
        <v>9467856</v>
      </c>
      <c r="J47" t="s">
        <v>411</v>
      </c>
      <c r="K47" t="s">
        <v>411</v>
      </c>
      <c r="L47">
        <v>100</v>
      </c>
      <c r="M47">
        <v>28.507935</v>
      </c>
      <c r="N47">
        <v>0.87191600000000002</v>
      </c>
      <c r="O47">
        <v>3293790</v>
      </c>
      <c r="Q47">
        <v>82.888440000000003</v>
      </c>
      <c r="R47">
        <v>21.607320000000001</v>
      </c>
      <c r="S47">
        <v>59.279649999999997</v>
      </c>
      <c r="T47">
        <v>62.637729999999998</v>
      </c>
      <c r="V47">
        <v>1.1608768050399632</v>
      </c>
      <c r="W47">
        <v>0.30261682578506843</v>
      </c>
      <c r="X47">
        <v>0.83022880748976879</v>
      </c>
      <c r="Y47">
        <v>0.87725969842544815</v>
      </c>
    </row>
    <row r="48" spans="1:25" x14ac:dyDescent="0.2">
      <c r="B48" s="82" t="s">
        <v>435</v>
      </c>
      <c r="C48">
        <v>8</v>
      </c>
      <c r="D48">
        <v>1</v>
      </c>
      <c r="F48" t="s">
        <v>411</v>
      </c>
      <c r="G48">
        <v>0.40318300000000001</v>
      </c>
      <c r="H48">
        <v>7437072</v>
      </c>
      <c r="I48">
        <v>14466576</v>
      </c>
      <c r="J48" t="s">
        <v>411</v>
      </c>
      <c r="K48" t="s">
        <v>411</v>
      </c>
      <c r="L48">
        <v>100</v>
      </c>
      <c r="M48">
        <v>46.915669999999999</v>
      </c>
      <c r="N48">
        <v>0.92468300000000003</v>
      </c>
      <c r="O48">
        <v>6876935</v>
      </c>
      <c r="Q48">
        <v>44.072119999999998</v>
      </c>
      <c r="R48">
        <v>24.360140000000001</v>
      </c>
      <c r="S48">
        <v>28.309989999999999</v>
      </c>
      <c r="T48">
        <v>82.461089999999999</v>
      </c>
      <c r="V48">
        <v>0.61724290934824999</v>
      </c>
      <c r="W48">
        <v>0.34117087368909599</v>
      </c>
      <c r="X48">
        <v>0.39648967626744219</v>
      </c>
      <c r="Y48">
        <v>1.1548916435067769</v>
      </c>
    </row>
    <row r="49" spans="1:25" x14ac:dyDescent="0.2">
      <c r="B49" s="1" t="s">
        <v>436</v>
      </c>
      <c r="C49">
        <v>9</v>
      </c>
      <c r="D49">
        <v>1</v>
      </c>
      <c r="F49" t="s">
        <v>411</v>
      </c>
      <c r="G49">
        <v>0.40105499999999999</v>
      </c>
      <c r="H49">
        <v>4574928</v>
      </c>
      <c r="I49">
        <v>9608112</v>
      </c>
      <c r="J49" t="s">
        <v>411</v>
      </c>
      <c r="K49" t="s">
        <v>411</v>
      </c>
      <c r="L49">
        <v>100</v>
      </c>
      <c r="M49">
        <v>34.422843</v>
      </c>
      <c r="N49">
        <v>0.80429200000000001</v>
      </c>
      <c r="O49">
        <v>3679579</v>
      </c>
    </row>
    <row r="50" spans="1:25" x14ac:dyDescent="0.2">
      <c r="B50" s="82" t="s">
        <v>437</v>
      </c>
      <c r="C50">
        <v>10</v>
      </c>
      <c r="D50">
        <v>1</v>
      </c>
      <c r="F50" t="s">
        <v>411</v>
      </c>
      <c r="G50">
        <v>0.40105499999999999</v>
      </c>
      <c r="H50">
        <v>3895152</v>
      </c>
      <c r="I50">
        <v>8820240</v>
      </c>
      <c r="J50" t="s">
        <v>411</v>
      </c>
      <c r="K50" t="s">
        <v>411</v>
      </c>
      <c r="L50">
        <v>100</v>
      </c>
      <c r="M50">
        <v>35.096770999999997</v>
      </c>
      <c r="N50">
        <v>0.86361699999999997</v>
      </c>
      <c r="O50">
        <v>3363920</v>
      </c>
    </row>
    <row r="51" spans="1:25" x14ac:dyDescent="0.2">
      <c r="B51" s="1" t="s">
        <v>438</v>
      </c>
      <c r="C51">
        <v>11</v>
      </c>
      <c r="D51">
        <v>1</v>
      </c>
      <c r="F51" t="s">
        <v>411</v>
      </c>
      <c r="G51">
        <v>0.39841700000000002</v>
      </c>
      <c r="H51">
        <v>2762016</v>
      </c>
      <c r="I51">
        <v>6950496</v>
      </c>
      <c r="J51" t="s">
        <v>411</v>
      </c>
      <c r="K51" t="s">
        <v>411</v>
      </c>
      <c r="L51">
        <v>100</v>
      </c>
      <c r="M51">
        <v>23.810449999999999</v>
      </c>
      <c r="N51">
        <v>0.78230299999999997</v>
      </c>
      <c r="O51">
        <v>2160732</v>
      </c>
      <c r="Q51">
        <v>71.401581666666658</v>
      </c>
      <c r="R51">
        <v>36.351616666666672</v>
      </c>
      <c r="S51">
        <v>45.212816666666669</v>
      </c>
      <c r="T51">
        <v>51.370749999999994</v>
      </c>
      <c r="V51">
        <v>1.0000000000000002</v>
      </c>
      <c r="W51">
        <v>0.50911500583238711</v>
      </c>
      <c r="X51">
        <v>0.63321869924029939</v>
      </c>
      <c r="Y51">
        <v>0.71946235364674127</v>
      </c>
    </row>
    <row r="52" spans="1:25" ht="17" thickBot="1" x14ac:dyDescent="0.25">
      <c r="B52" s="81" t="s">
        <v>439</v>
      </c>
      <c r="C52">
        <v>12</v>
      </c>
      <c r="D52">
        <v>1</v>
      </c>
      <c r="F52" t="s">
        <v>411</v>
      </c>
      <c r="G52">
        <v>0.39632499999999998</v>
      </c>
      <c r="H52">
        <v>3570048</v>
      </c>
      <c r="I52">
        <v>8446224</v>
      </c>
      <c r="J52" t="s">
        <v>411</v>
      </c>
      <c r="K52" t="s">
        <v>411</v>
      </c>
      <c r="L52">
        <v>100</v>
      </c>
      <c r="M52">
        <v>21.232754</v>
      </c>
      <c r="N52">
        <v>0.68234799999999995</v>
      </c>
      <c r="O52">
        <v>2436014</v>
      </c>
    </row>
    <row r="53" spans="1:25" x14ac:dyDescent="0.2">
      <c r="A53" t="s">
        <v>321</v>
      </c>
      <c r="B53" s="79" t="s">
        <v>225</v>
      </c>
      <c r="C53">
        <v>13</v>
      </c>
      <c r="D53">
        <v>1</v>
      </c>
      <c r="F53" t="s">
        <v>411</v>
      </c>
      <c r="G53">
        <v>0.394737</v>
      </c>
      <c r="H53">
        <v>5329584</v>
      </c>
      <c r="I53">
        <v>11296656</v>
      </c>
      <c r="J53" t="s">
        <v>411</v>
      </c>
      <c r="K53" t="s">
        <v>411</v>
      </c>
      <c r="L53">
        <v>100</v>
      </c>
      <c r="M53">
        <v>32.790337000000001</v>
      </c>
      <c r="N53">
        <v>0.64929599999999998</v>
      </c>
      <c r="O53">
        <v>3460479</v>
      </c>
    </row>
    <row r="54" spans="1:25" x14ac:dyDescent="0.2">
      <c r="B54" s="80" t="s">
        <v>226</v>
      </c>
      <c r="C54">
        <v>14</v>
      </c>
      <c r="D54">
        <v>1</v>
      </c>
      <c r="F54" t="s">
        <v>411</v>
      </c>
      <c r="G54">
        <v>0.397368</v>
      </c>
      <c r="H54">
        <v>4721136</v>
      </c>
      <c r="I54">
        <v>9123552</v>
      </c>
      <c r="J54" t="s">
        <v>411</v>
      </c>
      <c r="K54" t="s">
        <v>411</v>
      </c>
      <c r="L54">
        <v>100</v>
      </c>
      <c r="M54">
        <v>33.721321000000003</v>
      </c>
      <c r="N54">
        <v>0.856406</v>
      </c>
      <c r="O54">
        <v>4043209</v>
      </c>
    </row>
    <row r="55" spans="1:25" x14ac:dyDescent="0.2">
      <c r="B55" s="79" t="s">
        <v>227</v>
      </c>
      <c r="C55">
        <v>15</v>
      </c>
      <c r="D55">
        <v>1</v>
      </c>
      <c r="F55" t="s">
        <v>411</v>
      </c>
      <c r="G55">
        <v>0.40419899999999997</v>
      </c>
      <c r="H55">
        <v>6425088</v>
      </c>
      <c r="I55">
        <v>12924816</v>
      </c>
      <c r="J55" t="s">
        <v>411</v>
      </c>
      <c r="K55" t="s">
        <v>411</v>
      </c>
      <c r="L55">
        <v>100</v>
      </c>
      <c r="M55">
        <v>42.877963999999999</v>
      </c>
      <c r="N55">
        <v>0.80664899999999995</v>
      </c>
      <c r="O55">
        <v>5182793</v>
      </c>
    </row>
    <row r="56" spans="1:25" x14ac:dyDescent="0.2">
      <c r="B56" s="80" t="s">
        <v>228</v>
      </c>
      <c r="C56">
        <v>16</v>
      </c>
      <c r="D56">
        <v>1</v>
      </c>
      <c r="F56" t="s">
        <v>411</v>
      </c>
      <c r="G56">
        <v>0.40789500000000001</v>
      </c>
      <c r="H56">
        <v>6809040</v>
      </c>
      <c r="I56">
        <v>14141520</v>
      </c>
      <c r="J56" t="s">
        <v>411</v>
      </c>
      <c r="K56" t="s">
        <v>411</v>
      </c>
      <c r="L56">
        <v>100</v>
      </c>
      <c r="M56">
        <v>44.486921000000002</v>
      </c>
      <c r="N56">
        <v>0.83451500000000001</v>
      </c>
      <c r="O56">
        <v>5682245</v>
      </c>
    </row>
    <row r="57" spans="1:25" x14ac:dyDescent="0.2">
      <c r="B57" s="1" t="s">
        <v>229</v>
      </c>
      <c r="C57">
        <v>17</v>
      </c>
      <c r="D57">
        <v>1</v>
      </c>
      <c r="F57" t="s">
        <v>411</v>
      </c>
      <c r="G57">
        <v>0.40897099999999997</v>
      </c>
      <c r="H57">
        <v>6385968</v>
      </c>
      <c r="I57">
        <v>13414176</v>
      </c>
      <c r="J57" t="s">
        <v>411</v>
      </c>
      <c r="K57" t="s">
        <v>411</v>
      </c>
      <c r="L57">
        <v>100</v>
      </c>
      <c r="M57">
        <v>44.148479000000002</v>
      </c>
      <c r="N57">
        <v>0.92827999999999999</v>
      </c>
      <c r="O57">
        <v>5927965</v>
      </c>
    </row>
    <row r="58" spans="1:25" ht="17" thickBot="1" x14ac:dyDescent="0.25">
      <c r="B58" s="81" t="s">
        <v>230</v>
      </c>
      <c r="C58">
        <v>18</v>
      </c>
      <c r="D58">
        <v>1</v>
      </c>
      <c r="F58" t="s">
        <v>411</v>
      </c>
      <c r="G58">
        <v>0.41424800000000001</v>
      </c>
      <c r="H58">
        <v>3787152</v>
      </c>
      <c r="I58">
        <v>11862096</v>
      </c>
      <c r="J58" t="s">
        <v>411</v>
      </c>
      <c r="K58" t="s">
        <v>411</v>
      </c>
      <c r="L58">
        <v>100</v>
      </c>
      <c r="M58">
        <v>26.679855</v>
      </c>
      <c r="N58">
        <v>0.74752700000000005</v>
      </c>
      <c r="O58">
        <v>2830999</v>
      </c>
    </row>
    <row r="59" spans="1:25" x14ac:dyDescent="0.2">
      <c r="A59" t="s">
        <v>2</v>
      </c>
      <c r="B59" s="1" t="s">
        <v>440</v>
      </c>
      <c r="C59">
        <v>19</v>
      </c>
      <c r="D59">
        <v>1</v>
      </c>
      <c r="F59" t="s">
        <v>411</v>
      </c>
      <c r="G59">
        <v>0.41269800000000001</v>
      </c>
      <c r="H59">
        <v>5584848</v>
      </c>
      <c r="I59">
        <v>15495552</v>
      </c>
      <c r="J59" t="s">
        <v>411</v>
      </c>
      <c r="K59" t="s">
        <v>411</v>
      </c>
      <c r="L59">
        <v>100</v>
      </c>
      <c r="M59">
        <v>19.812349999999999</v>
      </c>
      <c r="N59">
        <v>0.67732899999999996</v>
      </c>
      <c r="O59">
        <v>3782778</v>
      </c>
    </row>
    <row r="60" spans="1:25" x14ac:dyDescent="0.2">
      <c r="B60" s="82" t="s">
        <v>441</v>
      </c>
      <c r="C60">
        <v>20</v>
      </c>
      <c r="D60">
        <v>1</v>
      </c>
      <c r="F60" t="s">
        <v>411</v>
      </c>
      <c r="G60">
        <v>0.41160999999999998</v>
      </c>
      <c r="H60">
        <v>5988528</v>
      </c>
      <c r="I60">
        <v>13705056</v>
      </c>
      <c r="J60" t="s">
        <v>411</v>
      </c>
      <c r="K60" t="s">
        <v>411</v>
      </c>
      <c r="L60">
        <v>100</v>
      </c>
      <c r="M60">
        <v>41.126790999999997</v>
      </c>
      <c r="N60">
        <v>0.62429000000000001</v>
      </c>
      <c r="O60">
        <v>3738577</v>
      </c>
    </row>
    <row r="61" spans="1:25" x14ac:dyDescent="0.2">
      <c r="B61" s="1" t="s">
        <v>442</v>
      </c>
      <c r="C61">
        <v>21</v>
      </c>
      <c r="D61">
        <v>1</v>
      </c>
      <c r="F61" t="s">
        <v>411</v>
      </c>
      <c r="G61">
        <v>0.40583599999999997</v>
      </c>
      <c r="H61">
        <v>5629104</v>
      </c>
      <c r="I61">
        <v>13643712</v>
      </c>
      <c r="J61" t="s">
        <v>411</v>
      </c>
      <c r="K61" t="s">
        <v>411</v>
      </c>
      <c r="L61">
        <v>100</v>
      </c>
      <c r="M61">
        <v>29.609908000000001</v>
      </c>
      <c r="N61">
        <v>0.702905</v>
      </c>
      <c r="O61">
        <v>3956724</v>
      </c>
    </row>
    <row r="62" spans="1:25" x14ac:dyDescent="0.2">
      <c r="B62" s="82" t="s">
        <v>443</v>
      </c>
      <c r="C62">
        <v>22</v>
      </c>
      <c r="D62">
        <v>1</v>
      </c>
      <c r="F62" t="s">
        <v>411</v>
      </c>
      <c r="G62">
        <v>0.39893600000000001</v>
      </c>
      <c r="H62">
        <v>5461200</v>
      </c>
      <c r="I62">
        <v>13774128</v>
      </c>
      <c r="J62" t="s">
        <v>411</v>
      </c>
      <c r="K62" t="s">
        <v>411</v>
      </c>
      <c r="L62">
        <v>100</v>
      </c>
      <c r="M62">
        <v>32.331260999999998</v>
      </c>
      <c r="N62">
        <v>0.885243</v>
      </c>
      <c r="O62">
        <v>4834489</v>
      </c>
    </row>
    <row r="63" spans="1:25" x14ac:dyDescent="0.2">
      <c r="B63" s="1" t="s">
        <v>444</v>
      </c>
      <c r="C63">
        <v>23</v>
      </c>
      <c r="D63">
        <v>1</v>
      </c>
      <c r="F63" t="s">
        <v>411</v>
      </c>
      <c r="G63">
        <v>0.39627699999999999</v>
      </c>
      <c r="H63">
        <v>6398736</v>
      </c>
      <c r="I63">
        <v>14602848</v>
      </c>
      <c r="J63" t="s">
        <v>411</v>
      </c>
      <c r="K63" t="s">
        <v>411</v>
      </c>
      <c r="L63">
        <v>100</v>
      </c>
      <c r="M63">
        <v>37.515653999999998</v>
      </c>
      <c r="N63">
        <v>0.978908</v>
      </c>
      <c r="O63">
        <v>6263773</v>
      </c>
    </row>
    <row r="64" spans="1:25" ht="17" thickBot="1" x14ac:dyDescent="0.25">
      <c r="B64" s="81" t="s">
        <v>445</v>
      </c>
      <c r="C64">
        <v>24</v>
      </c>
      <c r="D64">
        <v>1</v>
      </c>
      <c r="F64" t="s">
        <v>411</v>
      </c>
      <c r="G64">
        <v>0.390374</v>
      </c>
      <c r="H64">
        <v>9159312</v>
      </c>
      <c r="I64">
        <v>17877408</v>
      </c>
      <c r="J64" t="s">
        <v>411</v>
      </c>
      <c r="K64" t="s">
        <v>411</v>
      </c>
      <c r="L64">
        <v>100</v>
      </c>
      <c r="M64">
        <v>38.315299000000003</v>
      </c>
      <c r="N64">
        <v>0.90029800000000004</v>
      </c>
      <c r="O64">
        <v>8246109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ED2A-073F-F744-BF9C-7B9CA50FA9F4}">
  <dimension ref="A1:Z85"/>
  <sheetViews>
    <sheetView workbookViewId="0">
      <selection activeCell="H16" sqref="H16"/>
    </sheetView>
  </sheetViews>
  <sheetFormatPr baseColWidth="10" defaultRowHeight="16" x14ac:dyDescent="0.2"/>
  <sheetData>
    <row r="1" spans="1:5" ht="19" x14ac:dyDescent="0.25">
      <c r="A1" s="68" t="s">
        <v>375</v>
      </c>
      <c r="B1" s="60"/>
      <c r="C1" s="60"/>
      <c r="D1" s="60"/>
      <c r="E1" s="51"/>
    </row>
    <row r="2" spans="1:5" x14ac:dyDescent="0.2">
      <c r="A2" s="69"/>
      <c r="B2" s="67"/>
      <c r="C2" s="67"/>
      <c r="D2" s="67"/>
      <c r="E2" s="70"/>
    </row>
    <row r="3" spans="1:5" x14ac:dyDescent="0.2">
      <c r="A3" s="61"/>
      <c r="B3" s="7" t="s">
        <v>0</v>
      </c>
      <c r="C3" s="7" t="s">
        <v>1</v>
      </c>
      <c r="D3" s="7" t="s">
        <v>2</v>
      </c>
      <c r="E3" s="52"/>
    </row>
    <row r="4" spans="1:5" x14ac:dyDescent="0.2">
      <c r="A4" s="61" t="s">
        <v>476</v>
      </c>
      <c r="B4" s="8">
        <v>0.56134899999999999</v>
      </c>
      <c r="C4" s="8">
        <v>1.95932</v>
      </c>
      <c r="D4" s="8">
        <v>1.203219</v>
      </c>
      <c r="E4" s="52"/>
    </row>
    <row r="5" spans="1:5" x14ac:dyDescent="0.2">
      <c r="A5" s="61"/>
      <c r="B5" s="8">
        <v>1.1197900000000001</v>
      </c>
      <c r="C5" s="8">
        <v>1.347504</v>
      </c>
      <c r="D5" s="8">
        <v>1.1618059999999999</v>
      </c>
      <c r="E5" s="52"/>
    </row>
    <row r="6" spans="1:5" x14ac:dyDescent="0.2">
      <c r="A6" s="61"/>
      <c r="B6" s="8">
        <v>1.32487</v>
      </c>
      <c r="C6" s="8">
        <v>1.4932510000000001</v>
      </c>
      <c r="D6" s="8">
        <v>0.84974700000000003</v>
      </c>
      <c r="E6" s="52"/>
    </row>
    <row r="7" spans="1:5" x14ac:dyDescent="0.2">
      <c r="A7" s="61"/>
      <c r="B7" s="8">
        <v>0.85911400000000004</v>
      </c>
      <c r="C7" s="8">
        <v>1.175489</v>
      </c>
      <c r="D7" s="35">
        <v>1.762089</v>
      </c>
      <c r="E7" s="52"/>
    </row>
    <row r="8" spans="1:5" x14ac:dyDescent="0.2">
      <c r="A8" s="61"/>
      <c r="B8" s="8">
        <v>1.3716170000000001</v>
      </c>
      <c r="C8" s="35">
        <v>0.732321</v>
      </c>
      <c r="D8" s="8">
        <v>1.2685109999999999</v>
      </c>
      <c r="E8" s="52"/>
    </row>
    <row r="9" spans="1:5" x14ac:dyDescent="0.2">
      <c r="A9" s="61"/>
      <c r="B9" s="8">
        <v>0.76326000000000005</v>
      </c>
      <c r="C9" s="35">
        <v>0.93397699999999995</v>
      </c>
      <c r="D9" s="8">
        <v>0.92791999999999997</v>
      </c>
      <c r="E9" s="52"/>
    </row>
    <row r="10" spans="1:5" x14ac:dyDescent="0.2">
      <c r="A10" s="61" t="s">
        <v>477</v>
      </c>
      <c r="B10" s="8">
        <v>1</v>
      </c>
      <c r="C10" s="8">
        <v>1.842411</v>
      </c>
      <c r="D10" s="16"/>
      <c r="E10" s="50"/>
    </row>
    <row r="11" spans="1:5" x14ac:dyDescent="0.2">
      <c r="A11" s="61"/>
      <c r="B11" s="35">
        <v>2.1346050000000001</v>
      </c>
      <c r="C11" s="8">
        <v>1.36557</v>
      </c>
      <c r="D11" s="16"/>
      <c r="E11" s="50"/>
    </row>
    <row r="12" spans="1:5" x14ac:dyDescent="0.2">
      <c r="A12" s="61"/>
      <c r="B12" s="8"/>
      <c r="C12" s="8"/>
      <c r="D12" s="8"/>
      <c r="E12" s="50"/>
    </row>
    <row r="13" spans="1:5" x14ac:dyDescent="0.2">
      <c r="A13" s="61"/>
      <c r="B13" s="8"/>
      <c r="C13" s="8"/>
      <c r="D13" s="8"/>
      <c r="E13" s="52"/>
    </row>
    <row r="14" spans="1:5" x14ac:dyDescent="0.2">
      <c r="A14" s="61"/>
      <c r="B14" s="8"/>
      <c r="C14" s="8"/>
      <c r="D14" s="8"/>
      <c r="E14" s="52"/>
    </row>
    <row r="15" spans="1:5" x14ac:dyDescent="0.2">
      <c r="A15" s="61"/>
      <c r="B15" s="8"/>
      <c r="C15" s="8"/>
      <c r="D15" s="8"/>
      <c r="E15" s="52"/>
    </row>
    <row r="16" spans="1:5" x14ac:dyDescent="0.2">
      <c r="A16" s="61"/>
      <c r="E16" s="52"/>
    </row>
    <row r="17" spans="1:5" x14ac:dyDescent="0.2">
      <c r="A17" s="61"/>
      <c r="E17" s="52"/>
    </row>
    <row r="18" spans="1:5" x14ac:dyDescent="0.2">
      <c r="A18" s="61"/>
      <c r="E18" s="52"/>
    </row>
    <row r="19" spans="1:5" x14ac:dyDescent="0.2">
      <c r="A19" s="61"/>
      <c r="E19" s="52"/>
    </row>
    <row r="20" spans="1:5" x14ac:dyDescent="0.2">
      <c r="A20" s="61"/>
      <c r="E20" s="52"/>
    </row>
    <row r="21" spans="1:5" x14ac:dyDescent="0.2">
      <c r="A21" s="61" t="s">
        <v>368</v>
      </c>
      <c r="B21">
        <v>7</v>
      </c>
      <c r="C21">
        <v>6</v>
      </c>
      <c r="D21">
        <v>5</v>
      </c>
      <c r="E21" s="52"/>
    </row>
    <row r="22" spans="1:5" x14ac:dyDescent="0.2">
      <c r="A22" s="61"/>
      <c r="E22" s="52"/>
    </row>
    <row r="23" spans="1:5" x14ac:dyDescent="0.2">
      <c r="A23" s="10" t="s">
        <v>9</v>
      </c>
      <c r="B23" s="8">
        <v>1</v>
      </c>
      <c r="C23" s="8">
        <v>1.5309999999999999</v>
      </c>
      <c r="D23" s="8">
        <v>1.0820000000000001</v>
      </c>
      <c r="E23" s="50"/>
    </row>
    <row r="24" spans="1:5" x14ac:dyDescent="0.2">
      <c r="A24" s="10" t="s">
        <v>10</v>
      </c>
      <c r="B24" s="8">
        <v>0.29620000000000002</v>
      </c>
      <c r="C24" s="8">
        <v>0.30640000000000001</v>
      </c>
      <c r="D24" s="8">
        <v>0.1827</v>
      </c>
      <c r="E24" s="50"/>
    </row>
    <row r="25" spans="1:5" x14ac:dyDescent="0.2">
      <c r="A25" s="10" t="s">
        <v>11</v>
      </c>
      <c r="B25" s="8">
        <v>0.1119</v>
      </c>
      <c r="C25" s="8">
        <v>0.12509999999999999</v>
      </c>
      <c r="D25" s="8">
        <v>8.1710000000000005E-2</v>
      </c>
      <c r="E25" s="50"/>
    </row>
    <row r="26" spans="1:5" x14ac:dyDescent="0.2">
      <c r="A26" s="61"/>
      <c r="E26" s="52"/>
    </row>
    <row r="27" spans="1:5" x14ac:dyDescent="0.2">
      <c r="A27" s="61"/>
      <c r="E27" s="52"/>
    </row>
    <row r="28" spans="1:5" x14ac:dyDescent="0.2">
      <c r="A28" s="61"/>
      <c r="E28" s="52"/>
    </row>
    <row r="29" spans="1:5" x14ac:dyDescent="0.2">
      <c r="A29" s="61"/>
      <c r="E29" s="52"/>
    </row>
    <row r="30" spans="1:5" x14ac:dyDescent="0.2">
      <c r="A30" s="5"/>
      <c r="B30" s="1" t="s">
        <v>255</v>
      </c>
      <c r="C30" s="1" t="s">
        <v>256</v>
      </c>
      <c r="D30" s="1" t="s">
        <v>327</v>
      </c>
      <c r="E30" s="6"/>
    </row>
    <row r="31" spans="1:5" x14ac:dyDescent="0.2">
      <c r="A31" s="5" t="s">
        <v>254</v>
      </c>
      <c r="B31" s="1">
        <v>8.3999999999999995E-3</v>
      </c>
      <c r="C31" s="1" t="s">
        <v>378</v>
      </c>
      <c r="D31" s="1" t="s">
        <v>379</v>
      </c>
      <c r="E31" s="6"/>
    </row>
    <row r="32" spans="1:5" ht="17" thickBot="1" x14ac:dyDescent="0.25">
      <c r="A32" s="11" t="s">
        <v>259</v>
      </c>
      <c r="B32" s="12"/>
      <c r="C32" s="12" t="s">
        <v>376</v>
      </c>
      <c r="D32" s="12" t="s">
        <v>377</v>
      </c>
      <c r="E32" s="66"/>
    </row>
    <row r="40" spans="1:26" x14ac:dyDescent="0.2">
      <c r="B40" t="s">
        <v>471</v>
      </c>
    </row>
    <row r="41" spans="1:26" x14ac:dyDescent="0.2">
      <c r="B41" t="s">
        <v>396</v>
      </c>
      <c r="C41" t="s">
        <v>397</v>
      </c>
      <c r="D41" t="s">
        <v>398</v>
      </c>
      <c r="E41" t="s">
        <v>399</v>
      </c>
      <c r="F41" t="s">
        <v>400</v>
      </c>
      <c r="G41" t="s">
        <v>401</v>
      </c>
      <c r="H41" t="s">
        <v>402</v>
      </c>
      <c r="I41" t="s">
        <v>403</v>
      </c>
      <c r="J41" t="s">
        <v>404</v>
      </c>
      <c r="K41" t="s">
        <v>405</v>
      </c>
      <c r="L41" t="s">
        <v>406</v>
      </c>
      <c r="M41" t="s">
        <v>407</v>
      </c>
      <c r="N41" t="s">
        <v>408</v>
      </c>
      <c r="O41" t="s">
        <v>409</v>
      </c>
      <c r="R41" t="s">
        <v>472</v>
      </c>
    </row>
    <row r="42" spans="1:26" x14ac:dyDescent="0.2">
      <c r="A42" t="s">
        <v>0</v>
      </c>
      <c r="B42" s="85" t="s">
        <v>428</v>
      </c>
      <c r="C42">
        <v>1</v>
      </c>
      <c r="D42">
        <v>1</v>
      </c>
      <c r="F42" t="s">
        <v>411</v>
      </c>
      <c r="G42">
        <v>0.40204400000000001</v>
      </c>
      <c r="H42">
        <v>14654959</v>
      </c>
      <c r="I42">
        <v>17241366</v>
      </c>
      <c r="J42" t="s">
        <v>411</v>
      </c>
      <c r="K42" t="s">
        <v>411</v>
      </c>
      <c r="L42">
        <v>100</v>
      </c>
      <c r="M42">
        <v>60.219205000000002</v>
      </c>
      <c r="N42">
        <v>1</v>
      </c>
      <c r="O42">
        <v>14654959</v>
      </c>
      <c r="R42" t="s">
        <v>0</v>
      </c>
      <c r="S42" t="s">
        <v>1</v>
      </c>
      <c r="T42" t="s">
        <v>170</v>
      </c>
      <c r="U42" t="s">
        <v>447</v>
      </c>
      <c r="W42" t="s">
        <v>0</v>
      </c>
      <c r="X42" t="s">
        <v>1</v>
      </c>
      <c r="Y42" t="s">
        <v>170</v>
      </c>
      <c r="Z42" t="s">
        <v>447</v>
      </c>
    </row>
    <row r="43" spans="1:26" x14ac:dyDescent="0.2">
      <c r="B43" s="86" t="s">
        <v>429</v>
      </c>
      <c r="C43">
        <v>2</v>
      </c>
      <c r="D43">
        <v>1</v>
      </c>
      <c r="F43" t="s">
        <v>411</v>
      </c>
      <c r="G43">
        <v>0.39761099999999999</v>
      </c>
      <c r="H43">
        <v>25910295</v>
      </c>
      <c r="I43">
        <v>28764635</v>
      </c>
      <c r="J43" t="s">
        <v>411</v>
      </c>
      <c r="K43" t="s">
        <v>411</v>
      </c>
      <c r="L43">
        <v>100</v>
      </c>
      <c r="M43">
        <v>72.214152999999996</v>
      </c>
      <c r="N43">
        <v>1.1282760000000001</v>
      </c>
      <c r="O43">
        <v>29233975</v>
      </c>
      <c r="R43">
        <v>146.54958999999999</v>
      </c>
      <c r="S43">
        <v>511.51306</v>
      </c>
      <c r="T43">
        <v>216.03206</v>
      </c>
      <c r="U43">
        <v>314.12022999999999</v>
      </c>
      <c r="W43">
        <v>0.56134947335370389</v>
      </c>
      <c r="X43">
        <v>1.9593203013706251</v>
      </c>
      <c r="Y43">
        <v>0.82749793505744895</v>
      </c>
      <c r="Z43">
        <v>1.2032188263388819</v>
      </c>
    </row>
    <row r="44" spans="1:26" x14ac:dyDescent="0.2">
      <c r="B44" s="85" t="s">
        <v>430</v>
      </c>
      <c r="C44">
        <v>3</v>
      </c>
      <c r="D44">
        <v>1</v>
      </c>
      <c r="F44" t="s">
        <v>411</v>
      </c>
      <c r="G44">
        <v>0.39931699999999998</v>
      </c>
      <c r="H44">
        <v>23380304</v>
      </c>
      <c r="I44">
        <v>26017236</v>
      </c>
      <c r="J44" t="s">
        <v>411</v>
      </c>
      <c r="K44" t="s">
        <v>411</v>
      </c>
      <c r="L44">
        <v>100</v>
      </c>
      <c r="M44">
        <v>62.659305000000003</v>
      </c>
      <c r="N44">
        <v>1.4793620000000001</v>
      </c>
      <c r="O44">
        <v>34587928</v>
      </c>
      <c r="R44">
        <v>292.33974999999998</v>
      </c>
      <c r="S44">
        <v>351.78836999999999</v>
      </c>
      <c r="T44">
        <v>75.577600000000004</v>
      </c>
      <c r="U44">
        <v>303.30860000000001</v>
      </c>
      <c r="W44">
        <v>1.1197899953377792</v>
      </c>
      <c r="X44">
        <v>1.3475043924139121</v>
      </c>
      <c r="Y44">
        <v>0.28949549403268132</v>
      </c>
      <c r="Z44">
        <v>1.1618055217598988</v>
      </c>
    </row>
    <row r="45" spans="1:26" x14ac:dyDescent="0.2">
      <c r="B45" s="86" t="s">
        <v>431</v>
      </c>
      <c r="C45">
        <v>4</v>
      </c>
      <c r="D45">
        <v>1</v>
      </c>
      <c r="F45" t="s">
        <v>411</v>
      </c>
      <c r="G45">
        <v>0.39249099999999998</v>
      </c>
      <c r="H45">
        <v>16702447</v>
      </c>
      <c r="I45">
        <v>19284769</v>
      </c>
      <c r="J45" t="s">
        <v>411</v>
      </c>
      <c r="K45" t="s">
        <v>411</v>
      </c>
      <c r="L45">
        <v>100</v>
      </c>
      <c r="M45">
        <v>51.409281999999997</v>
      </c>
      <c r="N45">
        <v>1.3428329999999999</v>
      </c>
      <c r="O45">
        <v>22428604</v>
      </c>
      <c r="R45">
        <v>345.87927999999999</v>
      </c>
      <c r="S45">
        <v>389.83798000000002</v>
      </c>
      <c r="T45">
        <v>197.6413</v>
      </c>
      <c r="U45">
        <v>221.84057999999999</v>
      </c>
      <c r="W45">
        <v>1.3248699752210722</v>
      </c>
      <c r="X45">
        <v>1.4932511565966973</v>
      </c>
      <c r="Y45">
        <v>0.75705322456338098</v>
      </c>
      <c r="Z45">
        <v>0.84974712485705495</v>
      </c>
    </row>
    <row r="46" spans="1:26" x14ac:dyDescent="0.2">
      <c r="B46" s="85" t="s">
        <v>432</v>
      </c>
      <c r="C46">
        <v>5</v>
      </c>
      <c r="D46">
        <v>1</v>
      </c>
      <c r="F46" t="s">
        <v>411</v>
      </c>
      <c r="G46">
        <v>0.39078499999999999</v>
      </c>
      <c r="H46">
        <v>26435153</v>
      </c>
      <c r="I46">
        <v>29064646</v>
      </c>
      <c r="J46" t="s">
        <v>411</v>
      </c>
      <c r="K46" t="s">
        <v>411</v>
      </c>
      <c r="L46">
        <v>100</v>
      </c>
      <c r="M46">
        <v>58.948504</v>
      </c>
      <c r="N46">
        <v>1.3545720000000001</v>
      </c>
      <c r="O46">
        <v>35808326</v>
      </c>
      <c r="R46">
        <v>224.28604000000001</v>
      </c>
      <c r="S46">
        <v>306.88085999999998</v>
      </c>
      <c r="T46">
        <v>358.49973999999997</v>
      </c>
      <c r="U46">
        <v>460.02260999999999</v>
      </c>
      <c r="W46">
        <v>0.85911431369127533</v>
      </c>
      <c r="X46">
        <v>1.1754888508615531</v>
      </c>
      <c r="Y46">
        <v>1.3732118953484604</v>
      </c>
      <c r="Z46">
        <v>1.7620892003471065</v>
      </c>
    </row>
    <row r="47" spans="1:26" ht="17" thickBot="1" x14ac:dyDescent="0.25">
      <c r="B47" s="87" t="s">
        <v>433</v>
      </c>
      <c r="C47">
        <v>6</v>
      </c>
      <c r="D47">
        <v>1</v>
      </c>
      <c r="F47" t="s">
        <v>411</v>
      </c>
      <c r="G47">
        <v>0.39249099999999998</v>
      </c>
      <c r="H47">
        <v>12947945</v>
      </c>
      <c r="I47">
        <v>15814196</v>
      </c>
      <c r="J47" t="s">
        <v>411</v>
      </c>
      <c r="K47" t="s">
        <v>411</v>
      </c>
      <c r="L47">
        <v>100</v>
      </c>
      <c r="M47">
        <v>37.906472999999998</v>
      </c>
      <c r="N47">
        <v>1.5389440000000001</v>
      </c>
      <c r="O47">
        <v>19926159</v>
      </c>
      <c r="R47">
        <v>358.08326</v>
      </c>
      <c r="S47">
        <v>191.18446</v>
      </c>
      <c r="T47">
        <v>335.53714000000002</v>
      </c>
      <c r="U47">
        <v>331.16588999999999</v>
      </c>
      <c r="W47">
        <v>1.3716165935215339</v>
      </c>
      <c r="X47">
        <v>0.73232068362942726</v>
      </c>
      <c r="Y47">
        <v>1.2852550241157825</v>
      </c>
      <c r="Z47">
        <v>1.2685112114214079</v>
      </c>
    </row>
    <row r="48" spans="1:26" x14ac:dyDescent="0.2">
      <c r="A48" t="s">
        <v>1</v>
      </c>
      <c r="B48" s="38" t="s">
        <v>434</v>
      </c>
      <c r="C48">
        <v>7</v>
      </c>
      <c r="D48">
        <v>1</v>
      </c>
      <c r="F48" t="s">
        <v>411</v>
      </c>
      <c r="G48">
        <v>0.39761099999999999</v>
      </c>
      <c r="H48">
        <v>29464503</v>
      </c>
      <c r="I48">
        <v>32093093</v>
      </c>
      <c r="J48" t="s">
        <v>411</v>
      </c>
      <c r="K48" t="s">
        <v>411</v>
      </c>
      <c r="L48">
        <v>100</v>
      </c>
      <c r="M48">
        <v>61.044077999999999</v>
      </c>
      <c r="N48">
        <v>1.736032</v>
      </c>
      <c r="O48">
        <v>51151306</v>
      </c>
      <c r="R48">
        <v>199.26159000000001</v>
      </c>
      <c r="S48">
        <v>243.83027999999999</v>
      </c>
      <c r="T48">
        <v>345.03872999999999</v>
      </c>
      <c r="U48">
        <v>242.24887000000001</v>
      </c>
      <c r="W48">
        <v>0.76325964887463471</v>
      </c>
      <c r="X48">
        <v>0.93397736060323444</v>
      </c>
      <c r="Y48">
        <v>1.3216502985244165</v>
      </c>
      <c r="Z48">
        <v>0.92791986381558555</v>
      </c>
    </row>
    <row r="49" spans="1:26" x14ac:dyDescent="0.2">
      <c r="B49" s="88" t="s">
        <v>435</v>
      </c>
      <c r="C49">
        <v>8</v>
      </c>
      <c r="D49">
        <v>1</v>
      </c>
      <c r="F49" t="s">
        <v>411</v>
      </c>
      <c r="G49">
        <v>0.40272999999999998</v>
      </c>
      <c r="H49">
        <v>24254365</v>
      </c>
      <c r="I49">
        <v>26743463</v>
      </c>
      <c r="J49" t="s">
        <v>411</v>
      </c>
      <c r="K49" t="s">
        <v>411</v>
      </c>
      <c r="L49">
        <v>100</v>
      </c>
      <c r="M49">
        <v>56.449925999999998</v>
      </c>
      <c r="N49">
        <v>1.450413</v>
      </c>
      <c r="O49">
        <v>35178837</v>
      </c>
    </row>
    <row r="50" spans="1:26" x14ac:dyDescent="0.2">
      <c r="B50" s="38" t="s">
        <v>436</v>
      </c>
      <c r="C50">
        <v>9</v>
      </c>
      <c r="D50">
        <v>1</v>
      </c>
      <c r="F50" t="s">
        <v>411</v>
      </c>
      <c r="G50">
        <v>0.40784999999999999</v>
      </c>
      <c r="H50">
        <v>26735379</v>
      </c>
      <c r="I50">
        <v>29171759</v>
      </c>
      <c r="J50" t="s">
        <v>411</v>
      </c>
      <c r="K50" t="s">
        <v>411</v>
      </c>
      <c r="L50">
        <v>100</v>
      </c>
      <c r="M50">
        <v>56.934168</v>
      </c>
      <c r="N50">
        <v>1.458135</v>
      </c>
      <c r="O50">
        <v>38983798</v>
      </c>
    </row>
    <row r="51" spans="1:26" x14ac:dyDescent="0.2">
      <c r="B51" s="88" t="s">
        <v>437</v>
      </c>
      <c r="C51">
        <v>10</v>
      </c>
      <c r="D51">
        <v>1</v>
      </c>
      <c r="F51" t="s">
        <v>411</v>
      </c>
      <c r="G51">
        <v>0.41126299999999999</v>
      </c>
      <c r="H51">
        <v>22988359</v>
      </c>
      <c r="I51">
        <v>25569047</v>
      </c>
      <c r="J51" t="s">
        <v>411</v>
      </c>
      <c r="K51" t="s">
        <v>411</v>
      </c>
      <c r="L51">
        <v>100</v>
      </c>
      <c r="M51">
        <v>50.09478</v>
      </c>
      <c r="N51">
        <v>1.33494</v>
      </c>
      <c r="O51">
        <v>30688086</v>
      </c>
      <c r="R51">
        <v>261.06658500000003</v>
      </c>
      <c r="S51">
        <v>332.50583499999999</v>
      </c>
      <c r="T51">
        <v>254.72109499999999</v>
      </c>
      <c r="U51">
        <v>312.11779666666666</v>
      </c>
      <c r="W51">
        <v>0.99999999999999989</v>
      </c>
      <c r="X51">
        <v>1.2736437909125751</v>
      </c>
      <c r="Y51">
        <v>0.97569397860702844</v>
      </c>
      <c r="Z51">
        <v>1.195548624756656</v>
      </c>
    </row>
    <row r="52" spans="1:26" x14ac:dyDescent="0.2">
      <c r="B52" s="38" t="s">
        <v>438</v>
      </c>
      <c r="C52">
        <v>11</v>
      </c>
      <c r="D52">
        <v>1</v>
      </c>
      <c r="F52" t="s">
        <v>411</v>
      </c>
      <c r="G52">
        <v>0.41638199999999997</v>
      </c>
      <c r="H52">
        <v>15342314</v>
      </c>
      <c r="I52">
        <v>17690071</v>
      </c>
      <c r="J52" t="s">
        <v>411</v>
      </c>
      <c r="K52" t="s">
        <v>411</v>
      </c>
      <c r="L52">
        <v>100</v>
      </c>
      <c r="M52">
        <v>45.055202000000001</v>
      </c>
      <c r="N52">
        <v>1.2461249999999999</v>
      </c>
      <c r="O52">
        <v>19118446</v>
      </c>
    </row>
    <row r="53" spans="1:26" ht="17" thickBot="1" x14ac:dyDescent="0.25">
      <c r="B53" s="87" t="s">
        <v>439</v>
      </c>
      <c r="C53">
        <v>12</v>
      </c>
      <c r="D53">
        <v>1</v>
      </c>
      <c r="F53" t="s">
        <v>411</v>
      </c>
      <c r="G53">
        <v>0.42320799999999997</v>
      </c>
      <c r="H53">
        <v>15718736</v>
      </c>
      <c r="I53">
        <v>18268937</v>
      </c>
      <c r="J53" t="s">
        <v>411</v>
      </c>
      <c r="K53" t="s">
        <v>411</v>
      </c>
      <c r="L53">
        <v>100</v>
      </c>
      <c r="M53">
        <v>52.913214000000004</v>
      </c>
      <c r="N53">
        <v>1.5512079999999999</v>
      </c>
      <c r="O53">
        <v>24383028</v>
      </c>
    </row>
    <row r="54" spans="1:26" x14ac:dyDescent="0.2">
      <c r="A54" t="s">
        <v>321</v>
      </c>
      <c r="B54" s="85" t="s">
        <v>225</v>
      </c>
      <c r="C54">
        <v>13</v>
      </c>
      <c r="D54">
        <v>1</v>
      </c>
      <c r="F54" t="s">
        <v>411</v>
      </c>
      <c r="G54">
        <v>0.42662099999999997</v>
      </c>
      <c r="H54">
        <v>17530541</v>
      </c>
      <c r="I54">
        <v>20235112</v>
      </c>
      <c r="J54" t="s">
        <v>411</v>
      </c>
      <c r="K54" t="s">
        <v>411</v>
      </c>
      <c r="L54">
        <v>100</v>
      </c>
      <c r="M54">
        <v>58.253233000000002</v>
      </c>
      <c r="N54">
        <v>1.232318</v>
      </c>
      <c r="O54">
        <v>21603206</v>
      </c>
    </row>
    <row r="55" spans="1:26" x14ac:dyDescent="0.2">
      <c r="B55" s="86" t="s">
        <v>226</v>
      </c>
      <c r="C55">
        <v>14</v>
      </c>
      <c r="D55">
        <v>1</v>
      </c>
      <c r="F55" t="s">
        <v>411</v>
      </c>
      <c r="G55">
        <v>0.39931699999999998</v>
      </c>
      <c r="H55">
        <v>5241829</v>
      </c>
      <c r="I55">
        <v>7641272</v>
      </c>
      <c r="J55" t="s">
        <v>411</v>
      </c>
      <c r="K55" t="s">
        <v>411</v>
      </c>
      <c r="L55">
        <v>100</v>
      </c>
      <c r="M55">
        <v>33.985140999999999</v>
      </c>
      <c r="N55">
        <v>1.4418169999999999</v>
      </c>
      <c r="O55">
        <v>7557760</v>
      </c>
    </row>
    <row r="56" spans="1:26" x14ac:dyDescent="0.2">
      <c r="B56" s="85" t="s">
        <v>227</v>
      </c>
      <c r="C56">
        <v>15</v>
      </c>
      <c r="D56">
        <v>1</v>
      </c>
      <c r="F56" t="s">
        <v>411</v>
      </c>
      <c r="G56">
        <v>0.42150199999999999</v>
      </c>
      <c r="H56">
        <v>17108797</v>
      </c>
      <c r="I56">
        <v>19699719</v>
      </c>
      <c r="J56" t="s">
        <v>411</v>
      </c>
      <c r="K56" t="s">
        <v>411</v>
      </c>
      <c r="L56">
        <v>100</v>
      </c>
      <c r="M56">
        <v>59.865006999999999</v>
      </c>
      <c r="N56">
        <v>1.155203</v>
      </c>
      <c r="O56">
        <v>19764130</v>
      </c>
    </row>
    <row r="57" spans="1:26" x14ac:dyDescent="0.2">
      <c r="B57" s="86" t="s">
        <v>228</v>
      </c>
      <c r="C57">
        <v>16</v>
      </c>
      <c r="D57">
        <v>1</v>
      </c>
      <c r="F57" t="s">
        <v>411</v>
      </c>
      <c r="G57">
        <v>0.42491499999999999</v>
      </c>
      <c r="H57">
        <v>19957031</v>
      </c>
      <c r="I57">
        <v>23175495</v>
      </c>
      <c r="J57" t="s">
        <v>411</v>
      </c>
      <c r="K57" t="s">
        <v>411</v>
      </c>
      <c r="L57">
        <v>100</v>
      </c>
      <c r="M57">
        <v>64.288989000000001</v>
      </c>
      <c r="N57">
        <v>1.7963579999999999</v>
      </c>
      <c r="O57">
        <v>35849974</v>
      </c>
    </row>
    <row r="58" spans="1:26" x14ac:dyDescent="0.2">
      <c r="B58" s="38" t="s">
        <v>229</v>
      </c>
      <c r="C58">
        <v>17</v>
      </c>
      <c r="D58">
        <v>1</v>
      </c>
      <c r="F58" t="s">
        <v>411</v>
      </c>
      <c r="G58">
        <v>0.42320799999999997</v>
      </c>
      <c r="H58">
        <v>20079151</v>
      </c>
      <c r="I58">
        <v>23133742</v>
      </c>
      <c r="J58" t="s">
        <v>411</v>
      </c>
      <c r="K58" t="s">
        <v>411</v>
      </c>
      <c r="L58">
        <v>100</v>
      </c>
      <c r="M58">
        <v>61.640419999999999</v>
      </c>
      <c r="N58">
        <v>1.6710719999999999</v>
      </c>
      <c r="O58">
        <v>33553714</v>
      </c>
    </row>
    <row r="59" spans="1:26" ht="17" thickBot="1" x14ac:dyDescent="0.25">
      <c r="B59" s="87" t="s">
        <v>230</v>
      </c>
      <c r="C59">
        <v>18</v>
      </c>
      <c r="D59">
        <v>1</v>
      </c>
      <c r="F59" t="s">
        <v>411</v>
      </c>
      <c r="G59">
        <v>0.42150199999999999</v>
      </c>
      <c r="H59">
        <v>17380557</v>
      </c>
      <c r="I59">
        <v>20053566</v>
      </c>
      <c r="J59" t="s">
        <v>411</v>
      </c>
      <c r="K59" t="s">
        <v>411</v>
      </c>
      <c r="L59">
        <v>100</v>
      </c>
      <c r="M59">
        <v>56.145845999999999</v>
      </c>
      <c r="N59">
        <v>1.9852000000000001</v>
      </c>
      <c r="O59">
        <v>34503873</v>
      </c>
    </row>
    <row r="60" spans="1:26" x14ac:dyDescent="0.2">
      <c r="A60" t="s">
        <v>2</v>
      </c>
      <c r="B60" s="38" t="s">
        <v>440</v>
      </c>
      <c r="C60">
        <v>19</v>
      </c>
      <c r="D60">
        <v>1</v>
      </c>
      <c r="F60" t="s">
        <v>411</v>
      </c>
      <c r="G60">
        <v>0.42662099999999997</v>
      </c>
      <c r="H60">
        <v>17810084</v>
      </c>
      <c r="I60">
        <v>20712068</v>
      </c>
      <c r="J60" t="s">
        <v>411</v>
      </c>
      <c r="K60" t="s">
        <v>411</v>
      </c>
      <c r="L60">
        <v>100</v>
      </c>
      <c r="M60">
        <v>56.292828999999998</v>
      </c>
      <c r="N60">
        <v>1.7637210000000001</v>
      </c>
      <c r="O60">
        <v>31412023</v>
      </c>
    </row>
    <row r="61" spans="1:26" x14ac:dyDescent="0.2">
      <c r="B61" s="88" t="s">
        <v>441</v>
      </c>
      <c r="C61">
        <v>20</v>
      </c>
      <c r="D61">
        <v>1</v>
      </c>
      <c r="F61" t="s">
        <v>411</v>
      </c>
      <c r="G61">
        <v>0.42150199999999999</v>
      </c>
      <c r="H61">
        <v>11494889</v>
      </c>
      <c r="I61">
        <v>14180325</v>
      </c>
      <c r="J61" t="s">
        <v>411</v>
      </c>
      <c r="K61" t="s">
        <v>411</v>
      </c>
      <c r="L61">
        <v>100</v>
      </c>
      <c r="M61">
        <v>48.218608000000003</v>
      </c>
      <c r="N61">
        <v>2.638639</v>
      </c>
      <c r="O61">
        <v>30330860</v>
      </c>
    </row>
    <row r="62" spans="1:26" x14ac:dyDescent="0.2">
      <c r="B62" s="38" t="s">
        <v>442</v>
      </c>
      <c r="C62">
        <v>21</v>
      </c>
      <c r="D62">
        <v>1</v>
      </c>
      <c r="F62" t="s">
        <v>411</v>
      </c>
      <c r="G62">
        <v>0.42906</v>
      </c>
      <c r="H62">
        <v>28090911</v>
      </c>
      <c r="I62">
        <v>30788903</v>
      </c>
      <c r="J62" t="s">
        <v>411</v>
      </c>
      <c r="K62" t="s">
        <v>411</v>
      </c>
      <c r="L62">
        <v>100</v>
      </c>
      <c r="M62">
        <v>48.247362000000003</v>
      </c>
      <c r="N62">
        <v>0.78972399999999998</v>
      </c>
      <c r="O62">
        <v>22184058</v>
      </c>
    </row>
    <row r="63" spans="1:26" x14ac:dyDescent="0.2">
      <c r="B63" s="88" t="s">
        <v>443</v>
      </c>
      <c r="C63">
        <v>22</v>
      </c>
      <c r="D63">
        <v>1</v>
      </c>
      <c r="F63" t="s">
        <v>411</v>
      </c>
      <c r="G63">
        <v>0.43076900000000001</v>
      </c>
      <c r="H63">
        <v>23536265</v>
      </c>
      <c r="I63">
        <v>26429735</v>
      </c>
      <c r="J63" t="s">
        <v>411</v>
      </c>
      <c r="K63" t="s">
        <v>411</v>
      </c>
      <c r="L63">
        <v>100</v>
      </c>
      <c r="M63">
        <v>62.451794</v>
      </c>
      <c r="N63">
        <v>1.9545269999999999</v>
      </c>
      <c r="O63">
        <v>46002261</v>
      </c>
    </row>
    <row r="64" spans="1:26" x14ac:dyDescent="0.2">
      <c r="B64" s="38" t="s">
        <v>444</v>
      </c>
      <c r="C64">
        <v>23</v>
      </c>
      <c r="D64">
        <v>1</v>
      </c>
      <c r="F64" t="s">
        <v>411</v>
      </c>
      <c r="G64">
        <v>0.43418800000000002</v>
      </c>
      <c r="H64">
        <v>20666574</v>
      </c>
      <c r="I64">
        <v>23802994</v>
      </c>
      <c r="J64" t="s">
        <v>411</v>
      </c>
      <c r="K64" t="s">
        <v>411</v>
      </c>
      <c r="L64">
        <v>100</v>
      </c>
      <c r="M64">
        <v>58.186692000000001</v>
      </c>
      <c r="N64">
        <v>1.6024229999999999</v>
      </c>
      <c r="O64">
        <v>33116589</v>
      </c>
    </row>
    <row r="65" spans="1:24" ht="17" thickBot="1" x14ac:dyDescent="0.25">
      <c r="B65" s="87" t="s">
        <v>445</v>
      </c>
      <c r="C65">
        <v>24</v>
      </c>
      <c r="D65">
        <v>1</v>
      </c>
      <c r="F65" t="s">
        <v>411</v>
      </c>
      <c r="G65">
        <v>0.42222199999999999</v>
      </c>
      <c r="H65">
        <v>10619065</v>
      </c>
      <c r="I65">
        <v>13616509</v>
      </c>
      <c r="J65" t="s">
        <v>411</v>
      </c>
      <c r="K65" t="s">
        <v>411</v>
      </c>
      <c r="L65">
        <v>100</v>
      </c>
      <c r="M65">
        <v>50.153126999999998</v>
      </c>
      <c r="N65">
        <v>2.2812640000000002</v>
      </c>
      <c r="O65">
        <v>24224887</v>
      </c>
    </row>
    <row r="72" spans="1:24" x14ac:dyDescent="0.2">
      <c r="B72" s="78" t="s">
        <v>475</v>
      </c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</row>
    <row r="73" spans="1:24" x14ac:dyDescent="0.2">
      <c r="B73" t="s">
        <v>396</v>
      </c>
      <c r="C73" t="s">
        <v>397</v>
      </c>
      <c r="D73" t="s">
        <v>398</v>
      </c>
      <c r="E73" t="s">
        <v>399</v>
      </c>
      <c r="F73" t="s">
        <v>400</v>
      </c>
      <c r="G73" t="s">
        <v>401</v>
      </c>
      <c r="H73" t="s">
        <v>402</v>
      </c>
      <c r="I73" t="s">
        <v>403</v>
      </c>
      <c r="J73" t="s">
        <v>404</v>
      </c>
      <c r="K73" t="s">
        <v>405</v>
      </c>
      <c r="L73" t="s">
        <v>406</v>
      </c>
      <c r="M73" t="s">
        <v>407</v>
      </c>
      <c r="N73" t="s">
        <v>408</v>
      </c>
      <c r="O73" t="s">
        <v>409</v>
      </c>
      <c r="R73" t="s">
        <v>473</v>
      </c>
    </row>
    <row r="74" spans="1:24" x14ac:dyDescent="0.2">
      <c r="A74" t="s">
        <v>484</v>
      </c>
      <c r="B74" s="38" t="s">
        <v>478</v>
      </c>
      <c r="C74">
        <v>7</v>
      </c>
      <c r="D74">
        <v>1</v>
      </c>
      <c r="F74" t="s">
        <v>411</v>
      </c>
      <c r="G74">
        <v>0.41747600000000001</v>
      </c>
      <c r="H74">
        <v>11677768</v>
      </c>
      <c r="I74">
        <v>12512226</v>
      </c>
      <c r="J74" t="s">
        <v>411</v>
      </c>
      <c r="K74" t="s">
        <v>411</v>
      </c>
      <c r="L74">
        <v>100</v>
      </c>
      <c r="M74">
        <v>85.061014</v>
      </c>
      <c r="N74">
        <v>1</v>
      </c>
      <c r="O74">
        <v>11677768</v>
      </c>
      <c r="R74" t="s">
        <v>0</v>
      </c>
      <c r="S74" t="s">
        <v>1</v>
      </c>
      <c r="T74" t="s">
        <v>474</v>
      </c>
      <c r="V74" t="s">
        <v>0</v>
      </c>
      <c r="W74" t="s">
        <v>1</v>
      </c>
      <c r="X74" t="s">
        <v>170</v>
      </c>
    </row>
    <row r="75" spans="1:24" x14ac:dyDescent="0.2">
      <c r="B75" s="88" t="s">
        <v>479</v>
      </c>
      <c r="C75">
        <v>8</v>
      </c>
      <c r="D75">
        <v>1</v>
      </c>
      <c r="F75" t="s">
        <v>411</v>
      </c>
      <c r="G75">
        <v>0.41666700000000001</v>
      </c>
      <c r="H75">
        <v>24950277</v>
      </c>
      <c r="I75">
        <v>26013495</v>
      </c>
      <c r="J75" t="s">
        <v>411</v>
      </c>
      <c r="K75" t="s">
        <v>411</v>
      </c>
      <c r="L75">
        <v>100</v>
      </c>
      <c r="M75">
        <v>90.987339000000006</v>
      </c>
      <c r="N75">
        <v>0.99908399999999997</v>
      </c>
      <c r="O75">
        <v>24927423</v>
      </c>
      <c r="R75">
        <f>O74/100000</f>
        <v>116.77768</v>
      </c>
      <c r="S75">
        <f>O76/100000</f>
        <v>215.15245999999999</v>
      </c>
      <c r="T75">
        <f>O78/100000</f>
        <v>103.6204</v>
      </c>
      <c r="V75">
        <v>1</v>
      </c>
      <c r="W75">
        <v>1.842410810010954</v>
      </c>
      <c r="X75">
        <v>0.88733052412070523</v>
      </c>
    </row>
    <row r="76" spans="1:24" x14ac:dyDescent="0.2">
      <c r="A76" t="s">
        <v>485</v>
      </c>
      <c r="B76" s="38" t="s">
        <v>480</v>
      </c>
      <c r="C76">
        <v>9</v>
      </c>
      <c r="D76">
        <v>1</v>
      </c>
      <c r="F76" t="s">
        <v>411</v>
      </c>
      <c r="G76">
        <v>0.41312700000000002</v>
      </c>
      <c r="H76">
        <v>17459462</v>
      </c>
      <c r="I76">
        <v>18411396</v>
      </c>
      <c r="J76" t="s">
        <v>411</v>
      </c>
      <c r="K76" t="s">
        <v>411</v>
      </c>
      <c r="L76">
        <v>100</v>
      </c>
      <c r="M76">
        <v>86.693826000000001</v>
      </c>
      <c r="N76">
        <v>1.232297</v>
      </c>
      <c r="O76">
        <v>21515246</v>
      </c>
      <c r="R76">
        <f>O75/100000</f>
        <v>249.27422999999999</v>
      </c>
      <c r="S76">
        <f>O77/100000</f>
        <v>159.46806000000001</v>
      </c>
      <c r="T76">
        <f>O79/100000</f>
        <v>68.908940000000001</v>
      </c>
      <c r="V76">
        <v>2.1346050889176764</v>
      </c>
      <c r="W76">
        <v>1.3655696876320886</v>
      </c>
      <c r="X76">
        <v>0.59008656448732322</v>
      </c>
    </row>
    <row r="77" spans="1:24" x14ac:dyDescent="0.2">
      <c r="B77" s="88" t="s">
        <v>481</v>
      </c>
      <c r="C77">
        <v>10</v>
      </c>
      <c r="D77">
        <v>1</v>
      </c>
      <c r="F77" t="s">
        <v>411</v>
      </c>
      <c r="G77">
        <v>0.41040500000000002</v>
      </c>
      <c r="H77">
        <v>18287341</v>
      </c>
      <c r="I77">
        <v>19277459</v>
      </c>
      <c r="J77" t="s">
        <v>411</v>
      </c>
      <c r="K77" t="s">
        <v>411</v>
      </c>
      <c r="L77">
        <v>100</v>
      </c>
      <c r="M77">
        <v>85.447382000000005</v>
      </c>
      <c r="N77">
        <v>0.87201300000000004</v>
      </c>
      <c r="O77">
        <v>15946806</v>
      </c>
    </row>
    <row r="78" spans="1:24" x14ac:dyDescent="0.2">
      <c r="A78" t="s">
        <v>321</v>
      </c>
      <c r="B78" s="38" t="s">
        <v>482</v>
      </c>
      <c r="C78">
        <v>11</v>
      </c>
      <c r="D78">
        <v>1</v>
      </c>
      <c r="F78" t="s">
        <v>411</v>
      </c>
      <c r="G78">
        <v>0.408829</v>
      </c>
      <c r="H78">
        <v>13819641</v>
      </c>
      <c r="I78">
        <v>14721437</v>
      </c>
      <c r="J78" t="s">
        <v>411</v>
      </c>
      <c r="K78" t="s">
        <v>411</v>
      </c>
      <c r="L78">
        <v>100</v>
      </c>
      <c r="M78">
        <v>83.712625000000003</v>
      </c>
      <c r="N78">
        <v>0.74980500000000005</v>
      </c>
      <c r="O78">
        <v>10362040</v>
      </c>
      <c r="R78">
        <f t="shared" ref="R78:T78" si="0">AVERAGE(R75:R76)</f>
        <v>183.02595500000001</v>
      </c>
      <c r="S78">
        <f t="shared" si="0"/>
        <v>187.31026</v>
      </c>
      <c r="T78">
        <f t="shared" si="0"/>
        <v>86.264669999999995</v>
      </c>
    </row>
    <row r="79" spans="1:24" x14ac:dyDescent="0.2">
      <c r="B79" s="88" t="s">
        <v>483</v>
      </c>
      <c r="C79">
        <v>12</v>
      </c>
      <c r="D79">
        <v>1</v>
      </c>
      <c r="F79" t="s">
        <v>411</v>
      </c>
      <c r="G79">
        <v>0.40612999999999999</v>
      </c>
      <c r="H79">
        <v>9411367</v>
      </c>
      <c r="I79">
        <v>10256102</v>
      </c>
      <c r="J79" t="s">
        <v>411</v>
      </c>
      <c r="K79" t="s">
        <v>411</v>
      </c>
      <c r="L79">
        <v>100</v>
      </c>
      <c r="M79">
        <v>82.974698000000004</v>
      </c>
      <c r="N79">
        <v>0.73218799999999995</v>
      </c>
      <c r="O79">
        <v>6890894</v>
      </c>
    </row>
    <row r="80" spans="1:24" x14ac:dyDescent="0.2">
      <c r="B80" s="79"/>
    </row>
    <row r="81" spans="2:2" x14ac:dyDescent="0.2">
      <c r="B81" s="79"/>
    </row>
    <row r="82" spans="2:2" x14ac:dyDescent="0.2">
      <c r="B82" s="79"/>
    </row>
    <row r="83" spans="2:2" x14ac:dyDescent="0.2">
      <c r="B83" s="79"/>
    </row>
    <row r="84" spans="2:2" x14ac:dyDescent="0.2">
      <c r="B84" s="1"/>
    </row>
    <row r="85" spans="2:2" x14ac:dyDescent="0.2">
      <c r="B8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0FAD-FC39-7840-94DD-224555C8B84E}">
  <dimension ref="A1:Z63"/>
  <sheetViews>
    <sheetView workbookViewId="0">
      <selection activeCell="F60" sqref="F60"/>
    </sheetView>
  </sheetViews>
  <sheetFormatPr baseColWidth="10" defaultRowHeight="16" x14ac:dyDescent="0.2"/>
  <sheetData>
    <row r="1" spans="1:5" ht="19" x14ac:dyDescent="0.25">
      <c r="A1" s="68" t="s">
        <v>380</v>
      </c>
      <c r="B1" s="60"/>
      <c r="C1" s="60"/>
      <c r="D1" s="60"/>
      <c r="E1" s="51"/>
    </row>
    <row r="2" spans="1:5" x14ac:dyDescent="0.2">
      <c r="A2" s="69"/>
      <c r="B2" s="67"/>
      <c r="C2" s="67"/>
      <c r="D2" s="67"/>
      <c r="E2" s="70"/>
    </row>
    <row r="3" spans="1:5" x14ac:dyDescent="0.2">
      <c r="A3" s="61"/>
      <c r="B3" s="7" t="s">
        <v>0</v>
      </c>
      <c r="C3" s="7" t="s">
        <v>1</v>
      </c>
      <c r="D3" s="7" t="s">
        <v>2</v>
      </c>
      <c r="E3" s="52"/>
    </row>
    <row r="4" spans="1:5" x14ac:dyDescent="0.2">
      <c r="A4" s="61"/>
      <c r="B4" s="8">
        <v>1.1291023099999999</v>
      </c>
      <c r="C4" s="8">
        <v>0.64377061000000002</v>
      </c>
      <c r="D4" s="8">
        <v>1.0541583999999999</v>
      </c>
      <c r="E4" s="52"/>
    </row>
    <row r="5" spans="1:5" x14ac:dyDescent="0.2">
      <c r="A5" s="61"/>
      <c r="B5" s="8">
        <v>0.72645448000000001</v>
      </c>
      <c r="C5" s="8">
        <v>0.73995423999999999</v>
      </c>
      <c r="D5" s="8">
        <v>1.2184374499999999</v>
      </c>
      <c r="E5" s="52"/>
    </row>
    <row r="6" spans="1:5" x14ac:dyDescent="0.2">
      <c r="A6" s="61"/>
      <c r="B6" s="8">
        <v>1.0199502600000001</v>
      </c>
      <c r="C6" s="8">
        <v>0.88252478000000001</v>
      </c>
      <c r="D6" s="8">
        <v>0.93371537999999998</v>
      </c>
      <c r="E6" s="52"/>
    </row>
    <row r="7" spans="1:5" x14ac:dyDescent="0.2">
      <c r="A7" s="61"/>
      <c r="B7" s="8">
        <v>1.1580431200000001</v>
      </c>
      <c r="C7" s="8">
        <v>0.74193072000000004</v>
      </c>
      <c r="D7" s="8">
        <v>1.0303329699999999</v>
      </c>
      <c r="E7" s="52"/>
    </row>
    <row r="8" spans="1:5" x14ac:dyDescent="0.2">
      <c r="A8" s="61"/>
      <c r="B8" s="8">
        <v>1.01696739</v>
      </c>
      <c r="C8" s="8">
        <v>0.81698563999999996</v>
      </c>
      <c r="D8" s="8">
        <v>1.31430292</v>
      </c>
      <c r="E8" s="52"/>
    </row>
    <row r="9" spans="1:5" x14ac:dyDescent="0.2">
      <c r="A9" s="61"/>
      <c r="B9" s="8">
        <v>0.94948244000000004</v>
      </c>
      <c r="C9" s="8">
        <v>0.85192038999999997</v>
      </c>
      <c r="D9" s="8">
        <v>0.92251013999999998</v>
      </c>
      <c r="E9" s="52"/>
    </row>
    <row r="10" spans="1:5" x14ac:dyDescent="0.2">
      <c r="A10" s="61"/>
      <c r="B10" s="8"/>
      <c r="C10" s="8"/>
      <c r="D10" s="8"/>
      <c r="E10" s="52"/>
    </row>
    <row r="11" spans="1:5" x14ac:dyDescent="0.2">
      <c r="A11" s="61"/>
      <c r="B11" s="16"/>
      <c r="C11" s="8"/>
      <c r="D11" s="16"/>
      <c r="E11" s="52"/>
    </row>
    <row r="12" spans="1:5" x14ac:dyDescent="0.2">
      <c r="A12" s="61"/>
      <c r="B12" s="8"/>
      <c r="C12" s="8"/>
      <c r="D12" s="8"/>
      <c r="E12" s="52"/>
    </row>
    <row r="13" spans="1:5" x14ac:dyDescent="0.2">
      <c r="A13" s="61"/>
      <c r="B13" s="8"/>
      <c r="C13" s="8"/>
      <c r="D13" s="8"/>
      <c r="E13" s="52"/>
    </row>
    <row r="14" spans="1:5" x14ac:dyDescent="0.2">
      <c r="A14" s="61"/>
      <c r="B14" s="8"/>
      <c r="C14" s="8"/>
      <c r="D14" s="8"/>
      <c r="E14" s="52"/>
    </row>
    <row r="15" spans="1:5" x14ac:dyDescent="0.2">
      <c r="A15" s="61"/>
      <c r="B15" s="8"/>
      <c r="C15" s="8"/>
      <c r="D15" s="8"/>
      <c r="E15" s="52"/>
    </row>
    <row r="16" spans="1:5" x14ac:dyDescent="0.2">
      <c r="A16" s="61"/>
      <c r="E16" s="52"/>
    </row>
    <row r="17" spans="1:5" x14ac:dyDescent="0.2">
      <c r="A17" s="61"/>
      <c r="E17" s="52"/>
    </row>
    <row r="18" spans="1:5" x14ac:dyDescent="0.2">
      <c r="A18" s="61"/>
      <c r="E18" s="52"/>
    </row>
    <row r="19" spans="1:5" x14ac:dyDescent="0.2">
      <c r="A19" s="61"/>
      <c r="E19" s="52"/>
    </row>
    <row r="20" spans="1:5" x14ac:dyDescent="0.2">
      <c r="A20" s="61"/>
      <c r="E20" s="52"/>
    </row>
    <row r="21" spans="1:5" x14ac:dyDescent="0.2">
      <c r="A21" s="61" t="s">
        <v>368</v>
      </c>
      <c r="B21">
        <v>6</v>
      </c>
      <c r="C21">
        <v>6</v>
      </c>
      <c r="D21">
        <v>6</v>
      </c>
      <c r="E21" s="52"/>
    </row>
    <row r="22" spans="1:5" x14ac:dyDescent="0.2">
      <c r="A22" s="61"/>
      <c r="E22" s="52"/>
    </row>
    <row r="23" spans="1:5" x14ac:dyDescent="0.2">
      <c r="A23" s="10" t="s">
        <v>9</v>
      </c>
      <c r="B23" s="8">
        <v>1</v>
      </c>
      <c r="C23" s="8">
        <v>0.77949999999999997</v>
      </c>
      <c r="D23" s="8">
        <v>1.079</v>
      </c>
      <c r="E23" s="50"/>
    </row>
    <row r="24" spans="1:5" x14ac:dyDescent="0.2">
      <c r="A24" s="10" t="s">
        <v>10</v>
      </c>
      <c r="B24" s="8">
        <v>0.1547</v>
      </c>
      <c r="C24" s="8">
        <v>8.7929999999999994E-2</v>
      </c>
      <c r="D24" s="8">
        <v>0.15709999999999999</v>
      </c>
      <c r="E24" s="50"/>
    </row>
    <row r="25" spans="1:5" x14ac:dyDescent="0.2">
      <c r="A25" s="10" t="s">
        <v>11</v>
      </c>
      <c r="B25" s="8">
        <v>6.3170000000000004E-2</v>
      </c>
      <c r="C25" s="8">
        <v>3.5900000000000001E-2</v>
      </c>
      <c r="D25" s="8">
        <v>6.4130000000000006E-2</v>
      </c>
      <c r="E25" s="50"/>
    </row>
    <row r="26" spans="1:5" x14ac:dyDescent="0.2">
      <c r="A26" s="61"/>
      <c r="E26" s="52"/>
    </row>
    <row r="27" spans="1:5" x14ac:dyDescent="0.2">
      <c r="A27" s="61"/>
      <c r="E27" s="52"/>
    </row>
    <row r="28" spans="1:5" x14ac:dyDescent="0.2">
      <c r="A28" s="61"/>
      <c r="E28" s="52"/>
    </row>
    <row r="29" spans="1:5" x14ac:dyDescent="0.2">
      <c r="A29" s="61"/>
      <c r="E29" s="52"/>
    </row>
    <row r="30" spans="1:5" x14ac:dyDescent="0.2">
      <c r="A30" s="5"/>
      <c r="B30" s="1" t="s">
        <v>255</v>
      </c>
      <c r="C30" s="1" t="s">
        <v>256</v>
      </c>
      <c r="D30" s="1" t="s">
        <v>327</v>
      </c>
      <c r="E30" s="6"/>
    </row>
    <row r="31" spans="1:5" x14ac:dyDescent="0.2">
      <c r="A31" s="5" t="s">
        <v>254</v>
      </c>
      <c r="B31" s="1" t="s">
        <v>382</v>
      </c>
      <c r="C31" s="1" t="s">
        <v>383</v>
      </c>
      <c r="D31" s="1" t="s">
        <v>384</v>
      </c>
      <c r="E31" s="6"/>
    </row>
    <row r="32" spans="1:5" ht="17" thickBot="1" x14ac:dyDescent="0.25">
      <c r="A32" s="11" t="s">
        <v>259</v>
      </c>
      <c r="B32" s="12"/>
      <c r="C32" s="12" t="s">
        <v>381</v>
      </c>
      <c r="D32" s="12" t="s">
        <v>326</v>
      </c>
      <c r="E32" s="66"/>
    </row>
    <row r="38" spans="1:26" x14ac:dyDescent="0.2">
      <c r="B38" s="74" t="s">
        <v>486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1"/>
      <c r="R38" s="71" t="s">
        <v>487</v>
      </c>
      <c r="S38" s="71"/>
      <c r="T38" s="71"/>
      <c r="U38" s="71"/>
      <c r="V38" s="71"/>
      <c r="W38" s="71"/>
      <c r="X38" s="71"/>
      <c r="Y38" s="71"/>
      <c r="Z38" s="71"/>
    </row>
    <row r="39" spans="1:26" x14ac:dyDescent="0.2">
      <c r="B39" s="71" t="s">
        <v>396</v>
      </c>
      <c r="C39" s="71" t="s">
        <v>397</v>
      </c>
      <c r="D39" s="71" t="s">
        <v>398</v>
      </c>
      <c r="E39" s="71" t="s">
        <v>399</v>
      </c>
      <c r="F39" s="71" t="s">
        <v>400</v>
      </c>
      <c r="G39" s="71" t="s">
        <v>401</v>
      </c>
      <c r="H39" s="71" t="s">
        <v>402</v>
      </c>
      <c r="I39" s="71" t="s">
        <v>403</v>
      </c>
      <c r="J39" s="71" t="s">
        <v>404</v>
      </c>
      <c r="K39" s="71" t="s">
        <v>405</v>
      </c>
      <c r="L39" s="71" t="s">
        <v>406</v>
      </c>
      <c r="M39" s="71" t="s">
        <v>407</v>
      </c>
      <c r="N39" s="71" t="s">
        <v>408</v>
      </c>
      <c r="O39" s="71" t="s">
        <v>409</v>
      </c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x14ac:dyDescent="0.2">
      <c r="A40" t="s">
        <v>0</v>
      </c>
      <c r="B40" s="79" t="s">
        <v>428</v>
      </c>
      <c r="C40" s="71">
        <v>1</v>
      </c>
      <c r="D40" s="71">
        <v>1</v>
      </c>
      <c r="E40" s="71"/>
      <c r="F40" s="71" t="s">
        <v>411</v>
      </c>
      <c r="G40" s="71">
        <v>0.37623800000000002</v>
      </c>
      <c r="H40" s="71">
        <v>9205440</v>
      </c>
      <c r="I40" s="71">
        <v>20125118</v>
      </c>
      <c r="J40" s="71" t="s">
        <v>411</v>
      </c>
      <c r="K40" s="71" t="s">
        <v>411</v>
      </c>
      <c r="L40" s="71">
        <v>100</v>
      </c>
      <c r="M40" s="71">
        <v>57.562623000000002</v>
      </c>
      <c r="N40" s="71">
        <v>1</v>
      </c>
      <c r="O40" s="71">
        <v>9205440</v>
      </c>
      <c r="P40" s="71"/>
      <c r="Q40" s="71"/>
      <c r="R40" s="71" t="s">
        <v>0</v>
      </c>
      <c r="S40" s="71" t="s">
        <v>1</v>
      </c>
      <c r="T40" s="71" t="s">
        <v>488</v>
      </c>
      <c r="U40" s="71" t="s">
        <v>489</v>
      </c>
      <c r="V40" s="71"/>
      <c r="W40" s="71" t="s">
        <v>0</v>
      </c>
      <c r="X40" s="71" t="s">
        <v>1</v>
      </c>
      <c r="Y40" s="71" t="s">
        <v>488</v>
      </c>
      <c r="Z40" s="71" t="s">
        <v>489</v>
      </c>
    </row>
    <row r="41" spans="1:26" x14ac:dyDescent="0.2">
      <c r="B41" s="89" t="s">
        <v>429</v>
      </c>
      <c r="C41" s="71">
        <v>2</v>
      </c>
      <c r="D41" s="71">
        <v>1</v>
      </c>
      <c r="E41" s="71"/>
      <c r="F41" s="71" t="s">
        <v>411</v>
      </c>
      <c r="G41" s="71">
        <v>0.37871300000000002</v>
      </c>
      <c r="H41" s="71">
        <v>7191492</v>
      </c>
      <c r="I41" s="71">
        <v>16472913</v>
      </c>
      <c r="J41" s="71" t="s">
        <v>411</v>
      </c>
      <c r="K41" s="71" t="s">
        <v>411</v>
      </c>
      <c r="L41" s="71">
        <v>100</v>
      </c>
      <c r="M41" s="71">
        <v>45.462552000000002</v>
      </c>
      <c r="N41" s="71">
        <v>0.82357000000000002</v>
      </c>
      <c r="O41" s="71">
        <v>5922699</v>
      </c>
      <c r="P41" s="71"/>
      <c r="Q41" s="71"/>
      <c r="R41" s="71">
        <v>92.054400000000001</v>
      </c>
      <c r="S41" s="71">
        <v>52.485869999999998</v>
      </c>
      <c r="T41" s="71">
        <v>62.416600000000003</v>
      </c>
      <c r="U41" s="71">
        <v>85.944310000000002</v>
      </c>
      <c r="V41" s="71"/>
      <c r="W41" s="71">
        <v>1.1291023099999999</v>
      </c>
      <c r="X41" s="71">
        <v>0.64377061000000002</v>
      </c>
      <c r="Y41" s="71">
        <v>0.76557695999999997</v>
      </c>
      <c r="Z41" s="71">
        <v>1.0541583999999999</v>
      </c>
    </row>
    <row r="42" spans="1:26" x14ac:dyDescent="0.2">
      <c r="B42" s="79" t="s">
        <v>430</v>
      </c>
      <c r="C42" s="71">
        <v>3</v>
      </c>
      <c r="D42" s="71">
        <v>1</v>
      </c>
      <c r="E42" s="71"/>
      <c r="F42" s="71" t="s">
        <v>411</v>
      </c>
      <c r="G42" s="71">
        <v>0.38861400000000001</v>
      </c>
      <c r="H42" s="71">
        <v>9947534</v>
      </c>
      <c r="I42" s="71">
        <v>19082196</v>
      </c>
      <c r="J42" s="71" t="s">
        <v>411</v>
      </c>
      <c r="K42" s="71" t="s">
        <v>411</v>
      </c>
      <c r="L42" s="71">
        <v>100</v>
      </c>
      <c r="M42" s="71">
        <v>53.500430000000001</v>
      </c>
      <c r="N42" s="71">
        <v>0.83594000000000002</v>
      </c>
      <c r="O42" s="71">
        <v>8315536</v>
      </c>
      <c r="P42" s="71"/>
      <c r="Q42" s="71"/>
      <c r="R42" s="71">
        <v>59.226990000000001</v>
      </c>
      <c r="S42" s="71">
        <v>60.32761</v>
      </c>
      <c r="T42" s="71">
        <v>60.381549999999997</v>
      </c>
      <c r="U42" s="71">
        <v>99.337789999999998</v>
      </c>
      <c r="V42" s="71"/>
      <c r="W42" s="71">
        <v>0.72645448000000001</v>
      </c>
      <c r="X42" s="71">
        <v>0.73995423999999999</v>
      </c>
      <c r="Y42" s="71">
        <v>0.74061584999999996</v>
      </c>
      <c r="Z42" s="71">
        <v>1.2184374499999999</v>
      </c>
    </row>
    <row r="43" spans="1:26" x14ac:dyDescent="0.2">
      <c r="B43" s="89" t="s">
        <v>431</v>
      </c>
      <c r="C43" s="71">
        <v>4</v>
      </c>
      <c r="D43" s="71">
        <v>1</v>
      </c>
      <c r="E43" s="71"/>
      <c r="F43" s="71" t="s">
        <v>411</v>
      </c>
      <c r="G43" s="71">
        <v>0.37376199999999998</v>
      </c>
      <c r="H43" s="71">
        <v>10716546</v>
      </c>
      <c r="I43" s="71">
        <v>20593861</v>
      </c>
      <c r="J43" s="71" t="s">
        <v>411</v>
      </c>
      <c r="K43" s="71" t="s">
        <v>411</v>
      </c>
      <c r="L43" s="71">
        <v>100</v>
      </c>
      <c r="M43" s="71">
        <v>57.205488000000003</v>
      </c>
      <c r="N43" s="71">
        <v>0.88101099999999999</v>
      </c>
      <c r="O43" s="71">
        <v>9441391</v>
      </c>
      <c r="P43" s="71"/>
      <c r="Q43" s="71"/>
      <c r="R43" s="71">
        <v>83.155360000000002</v>
      </c>
      <c r="S43" s="71">
        <v>71.951220000000006</v>
      </c>
      <c r="T43" s="71">
        <v>69.912520000000001</v>
      </c>
      <c r="U43" s="71">
        <v>76.12473</v>
      </c>
      <c r="V43" s="71"/>
      <c r="W43" s="71">
        <v>1.0199502600000001</v>
      </c>
      <c r="X43" s="71">
        <v>0.88252478000000001</v>
      </c>
      <c r="Y43" s="71">
        <v>0.85751889999999997</v>
      </c>
      <c r="Z43" s="71">
        <v>0.93371537999999998</v>
      </c>
    </row>
    <row r="44" spans="1:26" x14ac:dyDescent="0.2">
      <c r="B44" s="79" t="s">
        <v>432</v>
      </c>
      <c r="C44" s="71">
        <v>5</v>
      </c>
      <c r="D44" s="71">
        <v>1</v>
      </c>
      <c r="E44" s="71"/>
      <c r="F44" s="71" t="s">
        <v>411</v>
      </c>
      <c r="G44" s="71">
        <v>0.38366299999999998</v>
      </c>
      <c r="H44" s="71">
        <v>8043924</v>
      </c>
      <c r="I44" s="71">
        <v>17838206</v>
      </c>
      <c r="J44" s="71" t="s">
        <v>411</v>
      </c>
      <c r="K44" s="71" t="s">
        <v>411</v>
      </c>
      <c r="L44" s="71">
        <v>100</v>
      </c>
      <c r="M44" s="71">
        <v>56.945599000000001</v>
      </c>
      <c r="N44" s="71">
        <v>1.030743</v>
      </c>
      <c r="O44" s="71">
        <v>8291217</v>
      </c>
      <c r="P44" s="71"/>
      <c r="Q44" s="71"/>
      <c r="R44" s="71">
        <v>94.413910000000001</v>
      </c>
      <c r="S44" s="71">
        <v>60.488750000000003</v>
      </c>
      <c r="T44" s="71">
        <v>84.299620000000004</v>
      </c>
      <c r="U44" s="71">
        <v>84.001850000000005</v>
      </c>
      <c r="V44" s="71"/>
      <c r="W44" s="71">
        <v>1.1580431200000001</v>
      </c>
      <c r="X44" s="71">
        <v>0.74193072000000004</v>
      </c>
      <c r="Y44" s="71">
        <v>1.0339853000000001</v>
      </c>
      <c r="Z44" s="71">
        <v>1.0303329699999999</v>
      </c>
    </row>
    <row r="45" spans="1:26" ht="17" thickBot="1" x14ac:dyDescent="0.25">
      <c r="B45" s="90" t="s">
        <v>433</v>
      </c>
      <c r="C45" s="71">
        <v>6</v>
      </c>
      <c r="D45" s="71">
        <v>1</v>
      </c>
      <c r="E45" s="71"/>
      <c r="F45" s="71" t="s">
        <v>411</v>
      </c>
      <c r="G45" s="71">
        <v>0.38957799999999998</v>
      </c>
      <c r="H45" s="71">
        <v>5476652</v>
      </c>
      <c r="I45" s="71">
        <v>12356179</v>
      </c>
      <c r="J45" s="71" t="s">
        <v>411</v>
      </c>
      <c r="K45" s="71" t="s">
        <v>411</v>
      </c>
      <c r="L45" s="71">
        <v>100</v>
      </c>
      <c r="M45" s="71">
        <v>52.157105000000001</v>
      </c>
      <c r="N45" s="71">
        <v>1.413459</v>
      </c>
      <c r="O45" s="71">
        <v>7741020</v>
      </c>
      <c r="P45" s="71"/>
      <c r="Q45" s="71"/>
      <c r="R45" s="71">
        <v>82.912170000000003</v>
      </c>
      <c r="S45" s="71">
        <v>66.607889999999998</v>
      </c>
      <c r="T45" s="71">
        <v>66.727800000000002</v>
      </c>
      <c r="U45" s="71">
        <v>107.15358999999999</v>
      </c>
      <c r="V45" s="71"/>
      <c r="W45" s="71">
        <v>1.01696739</v>
      </c>
      <c r="X45" s="71">
        <v>0.81698563999999996</v>
      </c>
      <c r="Y45" s="71">
        <v>0.81845641000000002</v>
      </c>
      <c r="Z45" s="71">
        <v>1.31430292</v>
      </c>
    </row>
    <row r="46" spans="1:26" x14ac:dyDescent="0.2">
      <c r="A46" t="s">
        <v>1</v>
      </c>
      <c r="B46" s="1" t="s">
        <v>434</v>
      </c>
      <c r="C46" s="71">
        <v>7</v>
      </c>
      <c r="D46" s="71">
        <v>1</v>
      </c>
      <c r="E46" s="71"/>
      <c r="F46" s="71" t="s">
        <v>411</v>
      </c>
      <c r="G46" s="71">
        <v>0.38709700000000002</v>
      </c>
      <c r="H46" s="71">
        <v>6467415</v>
      </c>
      <c r="I46" s="71">
        <v>14593125</v>
      </c>
      <c r="J46" s="71" t="s">
        <v>411</v>
      </c>
      <c r="K46" s="71" t="s">
        <v>411</v>
      </c>
      <c r="L46" s="71">
        <v>100</v>
      </c>
      <c r="M46" s="71">
        <v>49.311821000000002</v>
      </c>
      <c r="N46" s="71">
        <v>0.81154300000000001</v>
      </c>
      <c r="O46" s="71">
        <v>5248587</v>
      </c>
      <c r="P46" s="71"/>
      <c r="Q46" s="71"/>
      <c r="R46" s="71">
        <v>77.410200000000003</v>
      </c>
      <c r="S46" s="71">
        <v>69.45608</v>
      </c>
      <c r="T46" s="71">
        <v>95.846689999999995</v>
      </c>
      <c r="U46" s="71">
        <v>75.211179999999999</v>
      </c>
      <c r="V46" s="71"/>
      <c r="W46" s="71">
        <v>0.94948244000000004</v>
      </c>
      <c r="X46" s="71">
        <v>0.85192038999999997</v>
      </c>
      <c r="Y46" s="71">
        <v>1.17561702</v>
      </c>
      <c r="Z46" s="71">
        <v>0.92251013999999998</v>
      </c>
    </row>
    <row r="47" spans="1:26" x14ac:dyDescent="0.2">
      <c r="B47" s="91" t="s">
        <v>435</v>
      </c>
      <c r="C47" s="71">
        <v>8</v>
      </c>
      <c r="D47" s="71">
        <v>1</v>
      </c>
      <c r="E47" s="71"/>
      <c r="F47" s="71" t="s">
        <v>411</v>
      </c>
      <c r="G47" s="71">
        <v>0.40446700000000002</v>
      </c>
      <c r="H47" s="71">
        <v>8843638</v>
      </c>
      <c r="I47" s="71">
        <v>16842971</v>
      </c>
      <c r="J47" s="71" t="s">
        <v>411</v>
      </c>
      <c r="K47" s="71" t="s">
        <v>411</v>
      </c>
      <c r="L47" s="71">
        <v>100</v>
      </c>
      <c r="M47" s="71">
        <v>48.975907999999997</v>
      </c>
      <c r="N47" s="71">
        <v>0.68215800000000004</v>
      </c>
      <c r="O47" s="71">
        <v>6032761</v>
      </c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x14ac:dyDescent="0.2">
      <c r="B48" s="1" t="s">
        <v>436</v>
      </c>
      <c r="C48" s="71">
        <v>9</v>
      </c>
      <c r="D48" s="71">
        <v>1</v>
      </c>
      <c r="E48" s="71"/>
      <c r="F48" s="71" t="s">
        <v>411</v>
      </c>
      <c r="G48" s="71">
        <v>0.39206000000000002</v>
      </c>
      <c r="H48" s="71">
        <v>8721690</v>
      </c>
      <c r="I48" s="71">
        <v>16932497</v>
      </c>
      <c r="J48" s="71" t="s">
        <v>411</v>
      </c>
      <c r="K48" s="71" t="s">
        <v>411</v>
      </c>
      <c r="L48" s="71">
        <v>100</v>
      </c>
      <c r="M48" s="71">
        <v>51.173304999999999</v>
      </c>
      <c r="N48" s="71">
        <v>0.82496899999999995</v>
      </c>
      <c r="O48" s="71">
        <v>7195122</v>
      </c>
      <c r="P48" s="71"/>
      <c r="Q48" s="71"/>
      <c r="R48" s="71">
        <v>81.528838300000004</v>
      </c>
      <c r="S48" s="71">
        <v>63.552903299999997</v>
      </c>
      <c r="T48" s="71">
        <v>73.264129999999994</v>
      </c>
      <c r="U48" s="71">
        <v>87.962241700000007</v>
      </c>
      <c r="V48" s="71"/>
      <c r="W48" s="71">
        <v>1</v>
      </c>
      <c r="X48" s="71">
        <v>0.77951440000000005</v>
      </c>
      <c r="Y48" s="71">
        <v>0.89862841000000004</v>
      </c>
      <c r="Z48" s="71">
        <v>1.0789095399999999</v>
      </c>
    </row>
    <row r="49" spans="1:26" x14ac:dyDescent="0.2">
      <c r="B49" s="91" t="s">
        <v>437</v>
      </c>
      <c r="C49" s="71">
        <v>10</v>
      </c>
      <c r="D49" s="71">
        <v>1</v>
      </c>
      <c r="E49" s="71"/>
      <c r="F49" s="71" t="s">
        <v>411</v>
      </c>
      <c r="G49" s="71">
        <v>0.40942899999999999</v>
      </c>
      <c r="H49" s="71">
        <v>8357040</v>
      </c>
      <c r="I49" s="71">
        <v>20790135</v>
      </c>
      <c r="J49" s="71" t="s">
        <v>411</v>
      </c>
      <c r="K49" s="71" t="s">
        <v>411</v>
      </c>
      <c r="L49" s="71">
        <v>100</v>
      </c>
      <c r="M49" s="71">
        <v>50.813037999999999</v>
      </c>
      <c r="N49" s="71">
        <v>0.72380599999999995</v>
      </c>
      <c r="O49" s="71">
        <v>6048875</v>
      </c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x14ac:dyDescent="0.2">
      <c r="B50" s="1" t="s">
        <v>438</v>
      </c>
      <c r="C50" s="71">
        <v>11</v>
      </c>
      <c r="D50" s="71">
        <v>1</v>
      </c>
      <c r="E50" s="71"/>
      <c r="F50" s="71" t="s">
        <v>411</v>
      </c>
      <c r="G50" s="71">
        <v>0.39303500000000002</v>
      </c>
      <c r="H50" s="71">
        <v>6592846</v>
      </c>
      <c r="I50" s="71">
        <v>15532933</v>
      </c>
      <c r="J50" s="71" t="s">
        <v>411</v>
      </c>
      <c r="K50" s="71" t="s">
        <v>411</v>
      </c>
      <c r="L50" s="71">
        <v>100</v>
      </c>
      <c r="M50" s="71">
        <v>52.930433999999998</v>
      </c>
      <c r="N50" s="71">
        <v>1.0103059999999999</v>
      </c>
      <c r="O50" s="71">
        <v>6660789</v>
      </c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ht="17" thickBot="1" x14ac:dyDescent="0.25">
      <c r="B51" s="90" t="s">
        <v>439</v>
      </c>
      <c r="C51" s="71">
        <v>12</v>
      </c>
      <c r="D51" s="71">
        <v>1</v>
      </c>
      <c r="E51" s="71"/>
      <c r="F51" s="71" t="s">
        <v>411</v>
      </c>
      <c r="G51" s="71">
        <v>0.40298499999999998</v>
      </c>
      <c r="H51" s="71">
        <v>7841179</v>
      </c>
      <c r="I51" s="71">
        <v>20332249</v>
      </c>
      <c r="J51" s="71" t="s">
        <v>411</v>
      </c>
      <c r="K51" s="71" t="s">
        <v>411</v>
      </c>
      <c r="L51" s="71">
        <v>100</v>
      </c>
      <c r="M51" s="71">
        <v>46.493597000000001</v>
      </c>
      <c r="N51" s="71">
        <v>0.88578599999999996</v>
      </c>
      <c r="O51" s="71">
        <v>6945608</v>
      </c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x14ac:dyDescent="0.2">
      <c r="A52" t="s">
        <v>321</v>
      </c>
      <c r="B52" s="79" t="s">
        <v>225</v>
      </c>
      <c r="C52" s="71">
        <v>13</v>
      </c>
      <c r="D52" s="71">
        <v>1</v>
      </c>
      <c r="E52" s="71"/>
      <c r="F52" s="71" t="s">
        <v>411</v>
      </c>
      <c r="G52" s="71">
        <v>0.40795999999999999</v>
      </c>
      <c r="H52" s="71">
        <v>8514215</v>
      </c>
      <c r="I52" s="71">
        <v>19460639</v>
      </c>
      <c r="J52" s="71" t="s">
        <v>411</v>
      </c>
      <c r="K52" s="71" t="s">
        <v>411</v>
      </c>
      <c r="L52" s="71">
        <v>100</v>
      </c>
      <c r="M52" s="71">
        <v>53.450147000000001</v>
      </c>
      <c r="N52" s="71">
        <v>0.73308700000000004</v>
      </c>
      <c r="O52" s="71">
        <v>6241660</v>
      </c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x14ac:dyDescent="0.2">
      <c r="B53" s="89" t="s">
        <v>226</v>
      </c>
      <c r="C53" s="71">
        <v>14</v>
      </c>
      <c r="D53" s="71">
        <v>1</v>
      </c>
      <c r="E53" s="71"/>
      <c r="F53" s="71" t="s">
        <v>411</v>
      </c>
      <c r="G53" s="71">
        <v>0.40049800000000002</v>
      </c>
      <c r="H53" s="71">
        <v>7322728</v>
      </c>
      <c r="I53" s="71">
        <v>17755861</v>
      </c>
      <c r="J53" s="71" t="s">
        <v>411</v>
      </c>
      <c r="K53" s="71" t="s">
        <v>411</v>
      </c>
      <c r="L53" s="71">
        <v>100</v>
      </c>
      <c r="M53" s="71">
        <v>44.407125999999998</v>
      </c>
      <c r="N53" s="71">
        <v>0.824577</v>
      </c>
      <c r="O53" s="71">
        <v>6038155</v>
      </c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x14ac:dyDescent="0.2">
      <c r="B54" s="79" t="s">
        <v>227</v>
      </c>
      <c r="C54" s="71">
        <v>15</v>
      </c>
      <c r="D54" s="71">
        <v>1</v>
      </c>
      <c r="E54" s="71"/>
      <c r="F54" s="71" t="s">
        <v>411</v>
      </c>
      <c r="G54" s="71">
        <v>0.41044799999999998</v>
      </c>
      <c r="H54" s="71">
        <v>9467009</v>
      </c>
      <c r="I54" s="71">
        <v>19496630</v>
      </c>
      <c r="J54" s="71" t="s">
        <v>411</v>
      </c>
      <c r="K54" s="71" t="s">
        <v>411</v>
      </c>
      <c r="L54" s="71">
        <v>100</v>
      </c>
      <c r="M54" s="71">
        <v>51.633578999999997</v>
      </c>
      <c r="N54" s="71">
        <v>0.73848599999999998</v>
      </c>
      <c r="O54" s="71">
        <v>6991252</v>
      </c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x14ac:dyDescent="0.2">
      <c r="B55" s="89" t="s">
        <v>228</v>
      </c>
      <c r="C55" s="71">
        <v>16</v>
      </c>
      <c r="D55" s="71">
        <v>1</v>
      </c>
      <c r="E55" s="71"/>
      <c r="F55" s="71" t="s">
        <v>411</v>
      </c>
      <c r="G55" s="71">
        <v>0.40897800000000001</v>
      </c>
      <c r="H55" s="71">
        <v>9983568</v>
      </c>
      <c r="I55" s="71">
        <v>19274922</v>
      </c>
      <c r="J55" s="71" t="s">
        <v>411</v>
      </c>
      <c r="K55" s="71" t="s">
        <v>411</v>
      </c>
      <c r="L55" s="71">
        <v>100</v>
      </c>
      <c r="M55" s="71">
        <v>52.013548999999998</v>
      </c>
      <c r="N55" s="71">
        <v>0.84438400000000002</v>
      </c>
      <c r="O55" s="71">
        <v>8429962</v>
      </c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x14ac:dyDescent="0.2">
      <c r="B56" s="1" t="s">
        <v>229</v>
      </c>
      <c r="C56" s="71">
        <v>17</v>
      </c>
      <c r="D56" s="71">
        <v>1</v>
      </c>
      <c r="E56" s="71"/>
      <c r="F56" s="71" t="s">
        <v>411</v>
      </c>
      <c r="G56" s="71">
        <v>0.41147099999999998</v>
      </c>
      <c r="H56" s="71">
        <v>10067461</v>
      </c>
      <c r="I56" s="71">
        <v>23312708</v>
      </c>
      <c r="J56" s="71" t="s">
        <v>411</v>
      </c>
      <c r="K56" s="71" t="s">
        <v>411</v>
      </c>
      <c r="L56" s="71">
        <v>100</v>
      </c>
      <c r="M56" s="71">
        <v>51.933703000000001</v>
      </c>
      <c r="N56" s="71">
        <v>0.66280700000000004</v>
      </c>
      <c r="O56" s="71">
        <v>6672780</v>
      </c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ht="17" thickBot="1" x14ac:dyDescent="0.25">
      <c r="B57" s="90" t="s">
        <v>230</v>
      </c>
      <c r="C57" s="71">
        <v>18</v>
      </c>
      <c r="D57" s="71">
        <v>1</v>
      </c>
      <c r="E57" s="71"/>
      <c r="F57" s="71" t="s">
        <v>411</v>
      </c>
      <c r="G57" s="71">
        <v>0.40399000000000002</v>
      </c>
      <c r="H57" s="71">
        <v>8972509</v>
      </c>
      <c r="I57" s="71">
        <v>20895420</v>
      </c>
      <c r="J57" s="71" t="s">
        <v>411</v>
      </c>
      <c r="K57" s="71" t="s">
        <v>411</v>
      </c>
      <c r="L57" s="71">
        <v>100</v>
      </c>
      <c r="M57" s="71">
        <v>50.769832999999998</v>
      </c>
      <c r="N57" s="71">
        <v>1.0682259999999999</v>
      </c>
      <c r="O57" s="71">
        <v>9584669</v>
      </c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x14ac:dyDescent="0.2">
      <c r="A58" t="s">
        <v>2</v>
      </c>
      <c r="B58" s="1" t="s">
        <v>440</v>
      </c>
      <c r="C58" s="71">
        <v>19</v>
      </c>
      <c r="D58" s="71">
        <v>1</v>
      </c>
      <c r="E58" s="71"/>
      <c r="F58" s="71" t="s">
        <v>411</v>
      </c>
      <c r="G58" s="71">
        <v>0.41396500000000003</v>
      </c>
      <c r="H58" s="71">
        <v>11280061</v>
      </c>
      <c r="I58" s="71">
        <v>23243478</v>
      </c>
      <c r="J58" s="71" t="s">
        <v>411</v>
      </c>
      <c r="K58" s="71" t="s">
        <v>411</v>
      </c>
      <c r="L58" s="71">
        <v>100</v>
      </c>
      <c r="M58" s="71">
        <v>49.493513</v>
      </c>
      <c r="N58" s="71">
        <v>0.76191399999999998</v>
      </c>
      <c r="O58" s="71">
        <v>8594431</v>
      </c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x14ac:dyDescent="0.2">
      <c r="B59" s="91" t="s">
        <v>441</v>
      </c>
      <c r="C59" s="71">
        <v>20</v>
      </c>
      <c r="D59" s="71">
        <v>1</v>
      </c>
      <c r="E59" s="71"/>
      <c r="F59" s="71" t="s">
        <v>411</v>
      </c>
      <c r="G59" s="71">
        <v>0.42</v>
      </c>
      <c r="H59" s="71">
        <v>11258045</v>
      </c>
      <c r="I59" s="71">
        <v>27578480</v>
      </c>
      <c r="J59" s="71" t="s">
        <v>411</v>
      </c>
      <c r="K59" s="71" t="s">
        <v>411</v>
      </c>
      <c r="L59" s="71">
        <v>100</v>
      </c>
      <c r="M59" s="71">
        <v>46.520077999999998</v>
      </c>
      <c r="N59" s="71">
        <v>0.88237200000000005</v>
      </c>
      <c r="O59" s="71">
        <v>9933779</v>
      </c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x14ac:dyDescent="0.2">
      <c r="B60" s="1" t="s">
        <v>442</v>
      </c>
      <c r="C60" s="71">
        <v>21</v>
      </c>
      <c r="D60" s="71">
        <v>1</v>
      </c>
      <c r="E60" s="71"/>
      <c r="F60" s="71" t="s">
        <v>411</v>
      </c>
      <c r="G60" s="71">
        <v>0.42105300000000001</v>
      </c>
      <c r="H60" s="71">
        <v>10581182</v>
      </c>
      <c r="I60" s="71">
        <v>25427018</v>
      </c>
      <c r="J60" s="71" t="s">
        <v>411</v>
      </c>
      <c r="K60" s="71" t="s">
        <v>411</v>
      </c>
      <c r="L60" s="71">
        <v>100</v>
      </c>
      <c r="M60" s="71">
        <v>53.713171000000003</v>
      </c>
      <c r="N60" s="71">
        <v>0.71943500000000005</v>
      </c>
      <c r="O60" s="71">
        <v>7612473</v>
      </c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x14ac:dyDescent="0.2">
      <c r="B61" s="91" t="s">
        <v>443</v>
      </c>
      <c r="C61" s="71">
        <v>22</v>
      </c>
      <c r="D61" s="71">
        <v>1</v>
      </c>
      <c r="E61" s="71"/>
      <c r="F61" s="71" t="s">
        <v>411</v>
      </c>
      <c r="G61" s="71">
        <v>0.42606500000000003</v>
      </c>
      <c r="H61" s="71">
        <v>9170954</v>
      </c>
      <c r="I61" s="71">
        <v>22150074</v>
      </c>
      <c r="J61" s="71" t="s">
        <v>411</v>
      </c>
      <c r="K61" s="71" t="s">
        <v>411</v>
      </c>
      <c r="L61" s="71">
        <v>100</v>
      </c>
      <c r="M61" s="71">
        <v>53.760199</v>
      </c>
      <c r="N61" s="71">
        <v>0.91595499999999996</v>
      </c>
      <c r="O61" s="71">
        <v>8400185</v>
      </c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x14ac:dyDescent="0.2">
      <c r="B62" s="1" t="s">
        <v>444</v>
      </c>
      <c r="C62" s="71">
        <v>23</v>
      </c>
      <c r="D62" s="71">
        <v>1</v>
      </c>
      <c r="E62" s="71"/>
      <c r="F62" s="71" t="s">
        <v>411</v>
      </c>
      <c r="G62" s="71">
        <v>0.43358400000000002</v>
      </c>
      <c r="H62" s="71">
        <v>11768928</v>
      </c>
      <c r="I62" s="71">
        <v>21904888</v>
      </c>
      <c r="J62" s="71" t="s">
        <v>411</v>
      </c>
      <c r="K62" s="71" t="s">
        <v>411</v>
      </c>
      <c r="L62" s="71">
        <v>100</v>
      </c>
      <c r="M62" s="71">
        <v>54.212471999999998</v>
      </c>
      <c r="N62" s="71">
        <v>0.91047900000000004</v>
      </c>
      <c r="O62" s="71">
        <v>10715359</v>
      </c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ht="17" thickBot="1" x14ac:dyDescent="0.25">
      <c r="B63" s="90" t="s">
        <v>445</v>
      </c>
      <c r="C63" s="71">
        <v>24</v>
      </c>
      <c r="D63" s="71">
        <v>1</v>
      </c>
      <c r="E63" s="71"/>
      <c r="F63" s="71" t="s">
        <v>411</v>
      </c>
      <c r="G63" s="71">
        <v>0.44611499999999998</v>
      </c>
      <c r="H63" s="71">
        <v>9476727</v>
      </c>
      <c r="I63" s="71">
        <v>21157419</v>
      </c>
      <c r="J63" s="71" t="s">
        <v>411</v>
      </c>
      <c r="K63" s="71" t="s">
        <v>411</v>
      </c>
      <c r="L63" s="71">
        <v>100</v>
      </c>
      <c r="M63" s="71">
        <v>44.405512999999999</v>
      </c>
      <c r="N63" s="71">
        <v>0.79364100000000004</v>
      </c>
      <c r="O63" s="71">
        <v>7521118</v>
      </c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B3A4-2574-4B47-A562-2CE1BAE480F0}">
  <dimension ref="A1:E32"/>
  <sheetViews>
    <sheetView workbookViewId="0">
      <selection activeCell="A30" sqref="A30:E32"/>
    </sheetView>
  </sheetViews>
  <sheetFormatPr baseColWidth="10" defaultRowHeight="16" x14ac:dyDescent="0.2"/>
  <sheetData>
    <row r="1" spans="1:5" ht="19" x14ac:dyDescent="0.25">
      <c r="A1" s="68" t="s">
        <v>490</v>
      </c>
      <c r="B1" s="60"/>
      <c r="C1" s="60"/>
      <c r="D1" s="60"/>
      <c r="E1" s="51"/>
    </row>
    <row r="2" spans="1:5" x14ac:dyDescent="0.2">
      <c r="A2" s="69"/>
      <c r="B2" s="67"/>
      <c r="C2" s="67"/>
      <c r="D2" s="67"/>
      <c r="E2" s="70"/>
    </row>
    <row r="3" spans="1:5" x14ac:dyDescent="0.2">
      <c r="A3" s="61"/>
      <c r="B3" s="7" t="s">
        <v>0</v>
      </c>
      <c r="C3" s="7" t="s">
        <v>1</v>
      </c>
      <c r="D3" s="7" t="s">
        <v>2</v>
      </c>
      <c r="E3" s="52"/>
    </row>
    <row r="4" spans="1:5" x14ac:dyDescent="0.2">
      <c r="A4" s="61"/>
      <c r="B4" s="8">
        <v>24.76</v>
      </c>
      <c r="C4" s="8">
        <v>17.600000000000001</v>
      </c>
      <c r="D4" s="8">
        <v>52.49</v>
      </c>
      <c r="E4" s="52"/>
    </row>
    <row r="5" spans="1:5" x14ac:dyDescent="0.2">
      <c r="A5" s="61"/>
      <c r="B5" s="8">
        <v>37.520000000000003</v>
      </c>
      <c r="C5" s="8">
        <v>30.77</v>
      </c>
      <c r="D5" s="8">
        <v>30.8</v>
      </c>
      <c r="E5" s="52"/>
    </row>
    <row r="6" spans="1:5" x14ac:dyDescent="0.2">
      <c r="A6" s="61"/>
      <c r="B6" s="8">
        <v>28.33</v>
      </c>
      <c r="C6" s="8">
        <v>33.81</v>
      </c>
      <c r="D6" s="35">
        <v>5.12</v>
      </c>
      <c r="E6" s="52"/>
    </row>
    <row r="7" spans="1:5" x14ac:dyDescent="0.2">
      <c r="A7" s="61"/>
      <c r="B7" s="8">
        <v>42.76</v>
      </c>
      <c r="C7" s="8">
        <v>24.71</v>
      </c>
      <c r="D7" s="8">
        <v>46.86</v>
      </c>
      <c r="E7" s="52"/>
    </row>
    <row r="8" spans="1:5" x14ac:dyDescent="0.2">
      <c r="A8" s="61"/>
      <c r="B8" s="8"/>
      <c r="C8" s="8"/>
      <c r="D8" s="8"/>
      <c r="E8" s="52"/>
    </row>
    <row r="9" spans="1:5" x14ac:dyDescent="0.2">
      <c r="A9" s="61"/>
      <c r="B9" s="8"/>
      <c r="C9" s="16"/>
      <c r="D9" s="8"/>
      <c r="E9" s="52"/>
    </row>
    <row r="10" spans="1:5" x14ac:dyDescent="0.2">
      <c r="A10" s="61"/>
      <c r="B10" s="8"/>
      <c r="C10" s="8"/>
      <c r="D10" s="8"/>
      <c r="E10" s="52"/>
    </row>
    <row r="11" spans="1:5" x14ac:dyDescent="0.2">
      <c r="A11" s="61"/>
      <c r="B11" s="16"/>
      <c r="C11" s="8"/>
      <c r="D11" s="16"/>
      <c r="E11" s="52"/>
    </row>
    <row r="12" spans="1:5" x14ac:dyDescent="0.2">
      <c r="A12" s="61"/>
      <c r="B12" s="8"/>
      <c r="C12" s="8"/>
      <c r="D12" s="8"/>
      <c r="E12" s="52"/>
    </row>
    <row r="13" spans="1:5" x14ac:dyDescent="0.2">
      <c r="A13" s="61"/>
      <c r="B13" s="8"/>
      <c r="C13" s="8"/>
      <c r="D13" s="8"/>
      <c r="E13" s="52"/>
    </row>
    <row r="14" spans="1:5" x14ac:dyDescent="0.2">
      <c r="A14" s="61"/>
      <c r="B14" s="8"/>
      <c r="C14" s="8"/>
      <c r="D14" s="8"/>
      <c r="E14" s="52"/>
    </row>
    <row r="15" spans="1:5" x14ac:dyDescent="0.2">
      <c r="A15" s="61"/>
      <c r="B15" s="8"/>
      <c r="C15" s="8"/>
      <c r="D15" s="8"/>
      <c r="E15" s="52"/>
    </row>
    <row r="16" spans="1:5" x14ac:dyDescent="0.2">
      <c r="A16" s="61"/>
      <c r="E16" s="52"/>
    </row>
    <row r="17" spans="1:5" x14ac:dyDescent="0.2">
      <c r="A17" s="61"/>
      <c r="E17" s="52"/>
    </row>
    <row r="18" spans="1:5" x14ac:dyDescent="0.2">
      <c r="A18" s="61"/>
      <c r="E18" s="52"/>
    </row>
    <row r="19" spans="1:5" x14ac:dyDescent="0.2">
      <c r="A19" s="61"/>
      <c r="E19" s="52"/>
    </row>
    <row r="20" spans="1:5" x14ac:dyDescent="0.2">
      <c r="A20" s="61"/>
      <c r="E20" s="52"/>
    </row>
    <row r="21" spans="1:5" x14ac:dyDescent="0.2">
      <c r="A21" s="61" t="s">
        <v>368</v>
      </c>
      <c r="B21">
        <v>4</v>
      </c>
      <c r="C21">
        <v>4</v>
      </c>
      <c r="D21">
        <v>3</v>
      </c>
      <c r="E21" s="52"/>
    </row>
    <row r="22" spans="1:5" x14ac:dyDescent="0.2">
      <c r="A22" s="61"/>
      <c r="E22" s="52"/>
    </row>
    <row r="23" spans="1:5" x14ac:dyDescent="0.2">
      <c r="A23" s="10" t="s">
        <v>9</v>
      </c>
      <c r="B23" s="8">
        <v>33.340000000000003</v>
      </c>
      <c r="C23" s="8">
        <v>26.72</v>
      </c>
      <c r="D23" s="8">
        <v>43.38</v>
      </c>
      <c r="E23" s="50"/>
    </row>
    <row r="24" spans="1:5" x14ac:dyDescent="0.2">
      <c r="A24" s="10" t="s">
        <v>10</v>
      </c>
      <c r="B24" s="8">
        <v>8.2650000000000006</v>
      </c>
      <c r="C24" s="8">
        <v>7.1619999999999999</v>
      </c>
      <c r="D24" s="8">
        <v>11.26</v>
      </c>
      <c r="E24" s="50"/>
    </row>
    <row r="25" spans="1:5" x14ac:dyDescent="0.2">
      <c r="A25" s="10" t="s">
        <v>11</v>
      </c>
      <c r="B25" s="8">
        <v>4.1319999999999997</v>
      </c>
      <c r="C25" s="8">
        <v>3.581</v>
      </c>
      <c r="D25" s="8">
        <v>6.4980000000000002</v>
      </c>
      <c r="E25" s="50"/>
    </row>
    <row r="26" spans="1:5" x14ac:dyDescent="0.2">
      <c r="A26" s="61"/>
      <c r="E26" s="52"/>
    </row>
    <row r="27" spans="1:5" x14ac:dyDescent="0.2">
      <c r="A27" s="61"/>
      <c r="E27" s="52"/>
    </row>
    <row r="28" spans="1:5" x14ac:dyDescent="0.2">
      <c r="A28" s="61"/>
      <c r="E28" s="52"/>
    </row>
    <row r="29" spans="1:5" x14ac:dyDescent="0.2">
      <c r="A29" s="61"/>
      <c r="E29" s="52"/>
    </row>
    <row r="30" spans="1:5" x14ac:dyDescent="0.2">
      <c r="A30" s="5"/>
      <c r="B30" s="1" t="s">
        <v>255</v>
      </c>
      <c r="C30" s="1" t="s">
        <v>256</v>
      </c>
      <c r="D30" s="1" t="s">
        <v>327</v>
      </c>
      <c r="E30" s="6"/>
    </row>
    <row r="31" spans="1:5" x14ac:dyDescent="0.2">
      <c r="A31" s="5" t="s">
        <v>254</v>
      </c>
      <c r="B31" s="1">
        <v>0.1</v>
      </c>
      <c r="C31" s="1">
        <v>0.55710000000000004</v>
      </c>
      <c r="D31" s="1">
        <v>8.5400000000000004E-2</v>
      </c>
      <c r="E31" s="6"/>
    </row>
    <row r="32" spans="1:5" ht="17" thickBot="1" x14ac:dyDescent="0.25">
      <c r="A32" s="11" t="s">
        <v>259</v>
      </c>
      <c r="B32" s="12"/>
      <c r="C32" s="12">
        <v>0.31569999999999998</v>
      </c>
      <c r="D32" s="12" t="s">
        <v>385</v>
      </c>
      <c r="E32" s="6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A93A-BD40-2344-8203-9AAF657D9780}">
  <dimension ref="A1:H43"/>
  <sheetViews>
    <sheetView workbookViewId="0">
      <selection activeCell="P29" sqref="P29"/>
    </sheetView>
  </sheetViews>
  <sheetFormatPr baseColWidth="10" defaultRowHeight="16" x14ac:dyDescent="0.2"/>
  <cols>
    <col min="1" max="1" width="17.6640625" bestFit="1" customWidth="1"/>
  </cols>
  <sheetData>
    <row r="1" spans="1:8" ht="19" x14ac:dyDescent="0.25">
      <c r="A1" s="94" t="s">
        <v>498</v>
      </c>
      <c r="B1" s="95"/>
      <c r="C1" s="95"/>
      <c r="D1" s="95"/>
      <c r="E1" s="95"/>
      <c r="F1" s="95"/>
      <c r="G1" s="95"/>
      <c r="H1" s="95"/>
    </row>
    <row r="2" spans="1:8" x14ac:dyDescent="0.2">
      <c r="A2" s="96"/>
      <c r="B2" s="96"/>
      <c r="C2" s="96"/>
      <c r="D2" s="96"/>
      <c r="E2" s="96"/>
      <c r="F2" s="95"/>
      <c r="G2" s="95"/>
      <c r="H2" s="95"/>
    </row>
    <row r="3" spans="1:8" x14ac:dyDescent="0.2">
      <c r="A3" s="95"/>
      <c r="B3" s="97" t="s">
        <v>0</v>
      </c>
      <c r="C3" s="97" t="s">
        <v>1</v>
      </c>
      <c r="D3" s="97" t="s">
        <v>2</v>
      </c>
      <c r="E3" s="95"/>
      <c r="F3" s="95"/>
      <c r="G3" s="95"/>
      <c r="H3" s="95"/>
    </row>
    <row r="4" spans="1:8" x14ac:dyDescent="0.2">
      <c r="A4" s="95"/>
      <c r="B4" s="98">
        <v>0.01</v>
      </c>
      <c r="C4" s="98">
        <v>0.79</v>
      </c>
      <c r="D4" s="98">
        <v>0.04</v>
      </c>
      <c r="E4" s="95"/>
      <c r="F4" s="95"/>
      <c r="G4" s="95"/>
      <c r="H4" s="95"/>
    </row>
    <row r="5" spans="1:8" x14ac:dyDescent="0.2">
      <c r="A5" s="95"/>
      <c r="B5" s="98">
        <v>0.03</v>
      </c>
      <c r="C5" s="98">
        <v>0.91</v>
      </c>
      <c r="D5" s="98">
        <v>0.2</v>
      </c>
      <c r="E5" s="95"/>
      <c r="F5" s="95"/>
      <c r="G5" s="95"/>
      <c r="H5" s="95"/>
    </row>
    <row r="6" spans="1:8" x14ac:dyDescent="0.2">
      <c r="A6" s="95"/>
      <c r="B6" s="98">
        <v>0.02</v>
      </c>
      <c r="C6" s="98">
        <v>0.31</v>
      </c>
      <c r="D6" s="98">
        <v>0.11</v>
      </c>
      <c r="E6" s="95"/>
      <c r="F6" s="95"/>
      <c r="G6" s="95"/>
      <c r="H6" s="95"/>
    </row>
    <row r="7" spans="1:8" x14ac:dyDescent="0.2">
      <c r="A7" s="95"/>
      <c r="B7" s="99">
        <v>0.77</v>
      </c>
      <c r="C7" s="100">
        <v>0.31</v>
      </c>
      <c r="D7" s="99">
        <v>0.73</v>
      </c>
      <c r="E7" s="95"/>
      <c r="F7" s="95"/>
      <c r="G7" s="95"/>
      <c r="H7" s="95"/>
    </row>
    <row r="8" spans="1:8" x14ac:dyDescent="0.2">
      <c r="A8" s="95"/>
      <c r="B8" s="98"/>
      <c r="C8" s="98"/>
      <c r="D8" s="98"/>
      <c r="E8" s="95"/>
      <c r="F8" s="95"/>
      <c r="G8" s="95"/>
      <c r="H8" s="95"/>
    </row>
    <row r="9" spans="1:8" x14ac:dyDescent="0.2">
      <c r="A9" s="95"/>
      <c r="B9" s="98"/>
      <c r="C9" s="101"/>
      <c r="D9" s="98"/>
      <c r="E9" s="95"/>
      <c r="F9" s="95"/>
      <c r="G9" s="95"/>
      <c r="H9" s="95"/>
    </row>
    <row r="10" spans="1:8" x14ac:dyDescent="0.2">
      <c r="A10" s="95"/>
      <c r="B10" s="98"/>
      <c r="C10" s="98"/>
      <c r="D10" s="98"/>
      <c r="E10" s="95"/>
      <c r="F10" s="95"/>
      <c r="G10" s="95"/>
      <c r="H10" s="95"/>
    </row>
    <row r="11" spans="1:8" x14ac:dyDescent="0.2">
      <c r="A11" s="95"/>
      <c r="B11" s="101"/>
      <c r="C11" s="98"/>
      <c r="D11" s="101"/>
      <c r="E11" s="95"/>
      <c r="F11" s="95"/>
      <c r="G11" s="95"/>
      <c r="H11" s="95"/>
    </row>
    <row r="12" spans="1:8" x14ac:dyDescent="0.2">
      <c r="A12" s="95"/>
      <c r="B12" s="98"/>
      <c r="C12" s="98"/>
      <c r="D12" s="98"/>
      <c r="E12" s="95"/>
      <c r="F12" s="95"/>
      <c r="G12" s="95"/>
      <c r="H12" s="95"/>
    </row>
    <row r="13" spans="1:8" x14ac:dyDescent="0.2">
      <c r="A13" s="95"/>
      <c r="B13" s="98"/>
      <c r="C13" s="98"/>
      <c r="D13" s="98"/>
      <c r="E13" s="95"/>
      <c r="F13" s="95"/>
      <c r="G13" s="95"/>
      <c r="H13" s="95"/>
    </row>
    <row r="14" spans="1:8" x14ac:dyDescent="0.2">
      <c r="A14" s="95"/>
      <c r="B14" s="98"/>
      <c r="C14" s="98"/>
      <c r="D14" s="98"/>
      <c r="E14" s="95"/>
      <c r="F14" s="95"/>
      <c r="G14" s="95"/>
      <c r="H14" s="95"/>
    </row>
    <row r="15" spans="1:8" x14ac:dyDescent="0.2">
      <c r="A15" s="95"/>
      <c r="B15" s="98"/>
      <c r="C15" s="98"/>
      <c r="D15" s="98"/>
      <c r="E15" s="95"/>
      <c r="F15" s="95"/>
      <c r="G15" s="95"/>
      <c r="H15" s="95"/>
    </row>
    <row r="16" spans="1:8" x14ac:dyDescent="0.2">
      <c r="A16" s="95"/>
      <c r="B16" s="95"/>
      <c r="C16" s="95"/>
      <c r="D16" s="95"/>
      <c r="E16" s="95"/>
      <c r="F16" s="95"/>
      <c r="G16" s="95"/>
      <c r="H16" s="95"/>
    </row>
    <row r="17" spans="1:8" x14ac:dyDescent="0.2">
      <c r="A17" s="95"/>
      <c r="B17" s="95"/>
      <c r="C17" s="95"/>
      <c r="D17" s="95"/>
      <c r="E17" s="95"/>
      <c r="F17" s="95"/>
      <c r="G17" s="95"/>
      <c r="H17" s="95"/>
    </row>
    <row r="18" spans="1:8" x14ac:dyDescent="0.2">
      <c r="A18" s="95"/>
      <c r="B18" s="95"/>
      <c r="C18" s="95"/>
      <c r="D18" s="95"/>
      <c r="E18" s="95"/>
      <c r="F18" s="95"/>
      <c r="G18" s="95"/>
      <c r="H18" s="95"/>
    </row>
    <row r="19" spans="1:8" x14ac:dyDescent="0.2">
      <c r="A19" s="95"/>
      <c r="B19" s="95"/>
      <c r="C19" s="95"/>
      <c r="D19" s="95"/>
      <c r="E19" s="95"/>
      <c r="F19" s="95"/>
      <c r="G19" s="95"/>
      <c r="H19" s="95"/>
    </row>
    <row r="20" spans="1:8" x14ac:dyDescent="0.2">
      <c r="A20" s="95"/>
      <c r="B20" s="95"/>
      <c r="C20" s="95"/>
      <c r="D20" s="95"/>
      <c r="E20" s="95"/>
      <c r="F20" s="95"/>
      <c r="G20" s="95"/>
      <c r="H20" s="95"/>
    </row>
    <row r="21" spans="1:8" x14ac:dyDescent="0.2">
      <c r="A21" s="102" t="s">
        <v>3</v>
      </c>
      <c r="B21" s="98">
        <v>3</v>
      </c>
      <c r="C21" s="98">
        <v>4</v>
      </c>
      <c r="D21" s="98">
        <v>3</v>
      </c>
      <c r="E21" s="95"/>
      <c r="F21" s="95"/>
      <c r="G21" s="95"/>
      <c r="H21" s="95"/>
    </row>
    <row r="22" spans="1:8" x14ac:dyDescent="0.2">
      <c r="A22" s="102"/>
      <c r="B22" s="98"/>
      <c r="C22" s="98"/>
      <c r="D22" s="98"/>
      <c r="E22" s="95"/>
      <c r="F22" s="95"/>
      <c r="G22" s="95"/>
      <c r="H22" s="95"/>
    </row>
    <row r="23" spans="1:8" x14ac:dyDescent="0.2">
      <c r="A23" s="102" t="s">
        <v>4</v>
      </c>
      <c r="B23" s="98">
        <v>0.01</v>
      </c>
      <c r="C23" s="98">
        <v>0.31</v>
      </c>
      <c r="D23" s="98">
        <v>0.04</v>
      </c>
      <c r="E23" s="98"/>
      <c r="F23" s="95"/>
      <c r="G23" s="95"/>
      <c r="H23" s="95"/>
    </row>
    <row r="24" spans="1:8" x14ac:dyDescent="0.2">
      <c r="A24" s="102" t="s">
        <v>5</v>
      </c>
      <c r="B24" s="98">
        <v>0.01</v>
      </c>
      <c r="C24" s="98">
        <v>0.31</v>
      </c>
      <c r="D24" s="98">
        <v>0.04</v>
      </c>
      <c r="E24" s="98"/>
      <c r="F24" s="95"/>
      <c r="G24" s="95"/>
      <c r="H24" s="95"/>
    </row>
    <row r="25" spans="1:8" x14ac:dyDescent="0.2">
      <c r="A25" s="102" t="s">
        <v>6</v>
      </c>
      <c r="B25" s="98">
        <v>0.02</v>
      </c>
      <c r="C25" s="98">
        <v>0.55000000000000004</v>
      </c>
      <c r="D25" s="98">
        <v>0.11</v>
      </c>
      <c r="E25" s="98"/>
      <c r="F25" s="95"/>
      <c r="G25" s="95"/>
      <c r="H25" s="95"/>
    </row>
    <row r="26" spans="1:8" x14ac:dyDescent="0.2">
      <c r="A26" s="102" t="s">
        <v>7</v>
      </c>
      <c r="B26" s="98">
        <v>0.03</v>
      </c>
      <c r="C26" s="98">
        <v>0.88</v>
      </c>
      <c r="D26" s="98">
        <v>0.2</v>
      </c>
      <c r="E26" s="95"/>
      <c r="F26" s="95"/>
      <c r="G26" s="95"/>
      <c r="H26" s="95"/>
    </row>
    <row r="27" spans="1:8" x14ac:dyDescent="0.2">
      <c r="A27" s="102" t="s">
        <v>8</v>
      </c>
      <c r="B27" s="98">
        <v>0.03</v>
      </c>
      <c r="C27" s="98">
        <v>0.91</v>
      </c>
      <c r="D27" s="98">
        <v>0.2</v>
      </c>
      <c r="E27" s="95"/>
      <c r="F27" s="95"/>
      <c r="G27" s="95"/>
      <c r="H27" s="95"/>
    </row>
    <row r="28" spans="1:8" x14ac:dyDescent="0.2">
      <c r="A28" s="102"/>
      <c r="B28" s="98"/>
      <c r="C28" s="98"/>
      <c r="D28" s="98"/>
      <c r="E28" s="95"/>
      <c r="F28" s="95"/>
      <c r="G28" s="95"/>
      <c r="H28" s="95"/>
    </row>
    <row r="29" spans="1:8" x14ac:dyDescent="0.2">
      <c r="A29" s="102" t="s">
        <v>9</v>
      </c>
      <c r="B29" s="98">
        <v>0.02</v>
      </c>
      <c r="C29" s="98">
        <v>0.57999999999999996</v>
      </c>
      <c r="D29" s="98">
        <v>0.1167</v>
      </c>
      <c r="E29" s="95"/>
      <c r="F29" s="95"/>
      <c r="G29" s="95"/>
      <c r="H29" s="95"/>
    </row>
    <row r="30" spans="1:8" x14ac:dyDescent="0.2">
      <c r="A30" s="102" t="s">
        <v>10</v>
      </c>
      <c r="B30" s="98">
        <v>0.01</v>
      </c>
      <c r="C30" s="98">
        <v>0.31559999999999999</v>
      </c>
      <c r="D30" s="98">
        <v>8.0210000000000004E-2</v>
      </c>
      <c r="E30" s="100"/>
      <c r="F30" s="95"/>
      <c r="G30" s="95"/>
      <c r="H30" s="95"/>
    </row>
    <row r="31" spans="1:8" x14ac:dyDescent="0.2">
      <c r="A31" s="102" t="s">
        <v>11</v>
      </c>
      <c r="B31" s="98">
        <v>5.7739999999999996E-3</v>
      </c>
      <c r="C31" s="98">
        <v>0.1578</v>
      </c>
      <c r="D31" s="98">
        <v>4.6309999999999997E-2</v>
      </c>
      <c r="E31" s="100"/>
      <c r="F31" s="95"/>
      <c r="G31" s="95"/>
      <c r="H31" s="95"/>
    </row>
    <row r="32" spans="1:8" x14ac:dyDescent="0.2">
      <c r="A32" s="102"/>
      <c r="B32" s="98"/>
      <c r="C32" s="98"/>
      <c r="D32" s="98"/>
      <c r="E32" s="103"/>
      <c r="F32" s="95"/>
      <c r="G32" s="95"/>
      <c r="H32" s="95"/>
    </row>
    <row r="33" spans="1:8" x14ac:dyDescent="0.2">
      <c r="A33" s="102" t="s">
        <v>12</v>
      </c>
      <c r="B33" s="98">
        <v>-4.8409999999999998E-3</v>
      </c>
      <c r="C33" s="98">
        <v>7.782E-2</v>
      </c>
      <c r="D33" s="98">
        <v>-8.2580000000000001E-2</v>
      </c>
      <c r="E33" s="95"/>
      <c r="F33" s="95"/>
      <c r="G33" s="95"/>
      <c r="H33" s="95"/>
    </row>
    <row r="34" spans="1:8" x14ac:dyDescent="0.2">
      <c r="A34" s="102" t="s">
        <v>13</v>
      </c>
      <c r="B34" s="98">
        <v>4.4839999999999998E-2</v>
      </c>
      <c r="C34" s="98">
        <v>1.0820000000000001</v>
      </c>
      <c r="D34" s="98">
        <v>0.31590000000000001</v>
      </c>
      <c r="E34" s="95"/>
      <c r="F34" s="95"/>
      <c r="G34" s="95"/>
      <c r="H34" s="95"/>
    </row>
    <row r="35" spans="1:8" x14ac:dyDescent="0.2">
      <c r="A35" s="95"/>
      <c r="B35" s="95"/>
      <c r="C35" s="95"/>
      <c r="D35" s="95"/>
      <c r="E35" s="95"/>
      <c r="F35" s="95"/>
      <c r="G35" s="95"/>
      <c r="H35" s="95"/>
    </row>
    <row r="36" spans="1:8" x14ac:dyDescent="0.2">
      <c r="A36" s="95"/>
      <c r="B36" s="95"/>
      <c r="C36" s="95"/>
      <c r="D36" s="95"/>
      <c r="E36" s="95"/>
      <c r="F36" s="95"/>
      <c r="G36" s="95"/>
      <c r="H36" s="95"/>
    </row>
    <row r="37" spans="1:8" x14ac:dyDescent="0.2">
      <c r="A37" s="95"/>
      <c r="B37" s="95"/>
      <c r="C37" s="95"/>
      <c r="D37" s="95"/>
      <c r="E37" s="95"/>
      <c r="F37" s="95"/>
      <c r="G37" s="95"/>
      <c r="H37" s="95"/>
    </row>
    <row r="38" spans="1:8" x14ac:dyDescent="0.2">
      <c r="A38" s="100"/>
      <c r="B38" s="100" t="s">
        <v>255</v>
      </c>
      <c r="C38" s="100" t="s">
        <v>256</v>
      </c>
      <c r="D38" s="100" t="s">
        <v>327</v>
      </c>
      <c r="E38" s="100"/>
      <c r="F38" s="95"/>
      <c r="G38" s="95"/>
      <c r="H38" s="95"/>
    </row>
    <row r="39" spans="1:8" x14ac:dyDescent="0.2">
      <c r="A39" s="100" t="s">
        <v>254</v>
      </c>
      <c r="B39" s="100">
        <v>0.02</v>
      </c>
      <c r="C39" s="100">
        <v>2.46E-2</v>
      </c>
      <c r="D39" s="100">
        <v>5.5100000000000003E-2</v>
      </c>
      <c r="E39" s="100"/>
      <c r="F39" s="95"/>
      <c r="G39" s="95"/>
      <c r="H39" s="95"/>
    </row>
    <row r="40" spans="1:8" x14ac:dyDescent="0.2">
      <c r="A40" s="100" t="s">
        <v>259</v>
      </c>
      <c r="B40" s="100"/>
      <c r="C40" s="100">
        <v>1.04E-2</v>
      </c>
      <c r="D40" s="100">
        <v>2.3900000000000001E-2</v>
      </c>
      <c r="E40" s="103"/>
      <c r="F40" s="95"/>
      <c r="G40" s="95"/>
      <c r="H40" s="95"/>
    </row>
    <row r="41" spans="1:8" x14ac:dyDescent="0.2">
      <c r="A41" s="95"/>
      <c r="B41" s="95"/>
      <c r="C41" s="95"/>
      <c r="D41" s="95"/>
      <c r="E41" s="95"/>
      <c r="F41" s="95"/>
      <c r="G41" s="95"/>
      <c r="H41" s="95"/>
    </row>
    <row r="42" spans="1:8" x14ac:dyDescent="0.2">
      <c r="A42" s="95"/>
      <c r="B42" s="95"/>
      <c r="C42" s="95"/>
      <c r="D42" s="95"/>
      <c r="E42" s="95"/>
      <c r="F42" s="95"/>
      <c r="G42" s="95"/>
      <c r="H42" s="95"/>
    </row>
    <row r="43" spans="1:8" x14ac:dyDescent="0.2">
      <c r="A43" s="95"/>
      <c r="B43" s="95"/>
      <c r="C43" s="95"/>
      <c r="D43" s="95"/>
      <c r="E43" s="95"/>
      <c r="F43" s="95"/>
      <c r="G43" s="95"/>
      <c r="H43" s="9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F0C9-96DC-394F-BEAF-46A9893DA20E}">
  <dimension ref="A2:AO72"/>
  <sheetViews>
    <sheetView workbookViewId="0">
      <selection activeCell="E31" sqref="E31"/>
    </sheetView>
  </sheetViews>
  <sheetFormatPr baseColWidth="10" defaultRowHeight="16" x14ac:dyDescent="0.2"/>
  <cols>
    <col min="1" max="1" width="17.6640625" style="1" bestFit="1" customWidth="1"/>
    <col min="2" max="2" width="9.83203125" style="1" bestFit="1" customWidth="1"/>
    <col min="3" max="3" width="12.83203125" style="1" bestFit="1" customWidth="1"/>
    <col min="4" max="4" width="11.6640625" style="1" customWidth="1"/>
    <col min="5" max="5" width="14.33203125" style="1" bestFit="1" customWidth="1"/>
    <col min="6" max="6" width="10.83203125" style="1"/>
    <col min="7" max="7" width="17.6640625" style="1" bestFit="1" customWidth="1"/>
    <col min="8" max="8" width="10.5" style="1" bestFit="1" customWidth="1"/>
    <col min="9" max="9" width="12.83203125" style="1" bestFit="1" customWidth="1"/>
    <col min="10" max="10" width="9.6640625" style="1" bestFit="1" customWidth="1"/>
    <col min="11" max="11" width="12.1640625" style="1" customWidth="1"/>
    <col min="12" max="12" width="17.6640625" style="1" bestFit="1" customWidth="1"/>
    <col min="13" max="13" width="12.5" style="1" bestFit="1" customWidth="1"/>
    <col min="14" max="14" width="12.83203125" style="1" bestFit="1" customWidth="1"/>
    <col min="15" max="15" width="10.5" style="1" bestFit="1" customWidth="1"/>
    <col min="16" max="16" width="12.33203125" style="1" customWidth="1"/>
    <col min="17" max="17" width="17.6640625" style="1" bestFit="1" customWidth="1"/>
    <col min="18" max="18" width="12.5" style="1" bestFit="1" customWidth="1"/>
    <col min="19" max="19" width="13.33203125" style="1" customWidth="1"/>
    <col min="20" max="21" width="12.5" style="1" bestFit="1" customWidth="1"/>
    <col min="22" max="22" width="10.83203125" style="1"/>
    <col min="23" max="23" width="17.6640625" style="1" bestFit="1" customWidth="1"/>
    <col min="24" max="24" width="12.5" style="1" bestFit="1" customWidth="1"/>
    <col min="25" max="25" width="12.83203125" style="1" bestFit="1" customWidth="1"/>
    <col min="26" max="26" width="12.5" style="1" bestFit="1" customWidth="1"/>
    <col min="27" max="27" width="14.33203125" style="1" bestFit="1" customWidth="1"/>
    <col min="28" max="28" width="10.83203125" style="1"/>
    <col min="29" max="29" width="17.6640625" style="1" bestFit="1" customWidth="1"/>
    <col min="30" max="30" width="12.5" style="1" bestFit="1" customWidth="1"/>
    <col min="31" max="31" width="13.33203125" style="1" bestFit="1" customWidth="1"/>
    <col min="32" max="32" width="12.83203125" style="1" bestFit="1" customWidth="1"/>
    <col min="33" max="33" width="12.5" style="1" bestFit="1" customWidth="1"/>
    <col min="34" max="34" width="14.33203125" style="1" bestFit="1" customWidth="1"/>
    <col min="35" max="35" width="10.83203125" style="1"/>
    <col min="36" max="36" width="17.6640625" style="1" bestFit="1" customWidth="1"/>
    <col min="37" max="37" width="12.5" style="1" bestFit="1" customWidth="1"/>
    <col min="38" max="38" width="12.83203125" style="1" bestFit="1" customWidth="1"/>
    <col min="39" max="39" width="12.5" style="1" bestFit="1" customWidth="1"/>
    <col min="40" max="40" width="14.33203125" style="1" bestFit="1" customWidth="1"/>
    <col min="41" max="16384" width="10.83203125" style="1"/>
  </cols>
  <sheetData>
    <row r="2" spans="1:40" x14ac:dyDescent="0.2">
      <c r="A2" s="25" t="s">
        <v>246</v>
      </c>
      <c r="B2" s="26"/>
      <c r="C2" s="26"/>
      <c r="D2" s="26"/>
      <c r="E2" s="27"/>
      <c r="G2" s="25" t="s">
        <v>269</v>
      </c>
      <c r="H2" s="26"/>
      <c r="I2" s="26"/>
      <c r="J2" s="27"/>
      <c r="L2" s="25" t="s">
        <v>247</v>
      </c>
      <c r="M2" s="26"/>
      <c r="N2" s="26"/>
      <c r="O2" s="27"/>
      <c r="Q2" s="25" t="s">
        <v>245</v>
      </c>
      <c r="R2" s="26">
        <v>14</v>
      </c>
      <c r="S2" s="26">
        <v>4</v>
      </c>
      <c r="T2" s="26">
        <v>15</v>
      </c>
      <c r="U2" s="27">
        <v>8</v>
      </c>
      <c r="W2" s="25" t="s">
        <v>291</v>
      </c>
      <c r="X2" s="26"/>
      <c r="Y2" s="26"/>
      <c r="Z2" s="26"/>
      <c r="AA2" s="27"/>
      <c r="AC2" s="25" t="s">
        <v>245</v>
      </c>
      <c r="AD2" s="26">
        <v>16</v>
      </c>
      <c r="AE2" s="26">
        <v>6</v>
      </c>
      <c r="AF2" s="26">
        <v>16</v>
      </c>
      <c r="AG2" s="26">
        <v>12</v>
      </c>
      <c r="AH2" s="27">
        <v>8</v>
      </c>
      <c r="AJ2" s="25" t="s">
        <v>251</v>
      </c>
      <c r="AK2" s="26">
        <v>14</v>
      </c>
      <c r="AL2" s="26">
        <v>16</v>
      </c>
      <c r="AM2" s="26">
        <v>12</v>
      </c>
      <c r="AN2" s="27">
        <v>8</v>
      </c>
    </row>
    <row r="3" spans="1:40" x14ac:dyDescent="0.2">
      <c r="A3" s="28" t="s">
        <v>245</v>
      </c>
      <c r="B3" s="1">
        <v>8</v>
      </c>
      <c r="C3" s="1">
        <v>10</v>
      </c>
      <c r="D3" s="1">
        <v>4</v>
      </c>
      <c r="E3" s="29">
        <v>7</v>
      </c>
      <c r="G3" s="28" t="s">
        <v>245</v>
      </c>
      <c r="H3" s="1">
        <v>10</v>
      </c>
      <c r="I3" s="1">
        <v>10</v>
      </c>
      <c r="J3" s="29">
        <v>8</v>
      </c>
      <c r="L3" s="28" t="s">
        <v>245</v>
      </c>
      <c r="M3" s="1">
        <v>21</v>
      </c>
      <c r="N3" s="1">
        <v>10</v>
      </c>
      <c r="O3" s="29">
        <v>8</v>
      </c>
      <c r="Q3" s="25" t="s">
        <v>248</v>
      </c>
      <c r="R3" s="17" t="s">
        <v>249</v>
      </c>
      <c r="S3" s="17" t="s">
        <v>250</v>
      </c>
      <c r="T3" s="17" t="s">
        <v>1</v>
      </c>
      <c r="U3" s="18" t="s">
        <v>170</v>
      </c>
      <c r="W3" s="28" t="s">
        <v>245</v>
      </c>
      <c r="X3" s="1">
        <v>12</v>
      </c>
      <c r="Y3" s="1">
        <v>10</v>
      </c>
      <c r="Z3" s="1">
        <v>6</v>
      </c>
      <c r="AA3" s="29">
        <v>6</v>
      </c>
      <c r="AC3" s="28" t="s">
        <v>252</v>
      </c>
      <c r="AD3" s="7" t="s">
        <v>249</v>
      </c>
      <c r="AE3" s="7" t="s">
        <v>253</v>
      </c>
      <c r="AF3" s="7" t="s">
        <v>1</v>
      </c>
      <c r="AG3" s="7" t="s">
        <v>170</v>
      </c>
      <c r="AH3" s="19" t="s">
        <v>2</v>
      </c>
      <c r="AJ3" s="25"/>
      <c r="AK3" s="17" t="s">
        <v>249</v>
      </c>
      <c r="AL3" s="17" t="s">
        <v>1</v>
      </c>
      <c r="AM3" s="17" t="s">
        <v>170</v>
      </c>
      <c r="AN3" s="18" t="s">
        <v>2</v>
      </c>
    </row>
    <row r="4" spans="1:40" x14ac:dyDescent="0.2">
      <c r="A4" s="28"/>
      <c r="B4" s="7" t="s">
        <v>249</v>
      </c>
      <c r="C4" s="7" t="s">
        <v>1</v>
      </c>
      <c r="D4" s="7" t="s">
        <v>170</v>
      </c>
      <c r="E4" s="19" t="s">
        <v>2</v>
      </c>
      <c r="G4" s="28"/>
      <c r="H4" s="7" t="s">
        <v>249</v>
      </c>
      <c r="I4" s="7" t="s">
        <v>1</v>
      </c>
      <c r="J4" s="19" t="s">
        <v>170</v>
      </c>
      <c r="K4" s="7"/>
      <c r="L4" s="28"/>
      <c r="M4" s="7" t="s">
        <v>249</v>
      </c>
      <c r="N4" s="7" t="s">
        <v>1</v>
      </c>
      <c r="O4" s="19" t="s">
        <v>170</v>
      </c>
      <c r="P4" s="7"/>
      <c r="Q4" s="28"/>
      <c r="R4" s="8">
        <v>12.541</v>
      </c>
      <c r="S4" s="1">
        <f>AVERAGE(24.322,16.835)</f>
        <v>20.578499999999998</v>
      </c>
      <c r="T4" s="8">
        <v>2.3904999999999998</v>
      </c>
      <c r="U4" s="20">
        <v>11.8385</v>
      </c>
      <c r="W4" s="28"/>
      <c r="X4" s="7" t="s">
        <v>249</v>
      </c>
      <c r="Y4" s="7" t="s">
        <v>1</v>
      </c>
      <c r="Z4" s="7" t="s">
        <v>170</v>
      </c>
      <c r="AA4" s="19" t="s">
        <v>2</v>
      </c>
      <c r="AC4" s="28"/>
      <c r="AD4" s="8">
        <v>13.712</v>
      </c>
      <c r="AE4" s="8">
        <v>17.372250000000001</v>
      </c>
      <c r="AF4" s="8">
        <v>4.8220000000000001</v>
      </c>
      <c r="AG4" s="8">
        <v>10.917</v>
      </c>
      <c r="AH4" s="20">
        <v>14.347</v>
      </c>
      <c r="AJ4" s="28"/>
      <c r="AK4" s="8">
        <v>10.334</v>
      </c>
      <c r="AL4" s="8">
        <v>3.5059999999999998</v>
      </c>
      <c r="AM4" s="8">
        <v>10.0535</v>
      </c>
      <c r="AN4" s="20">
        <v>19.959</v>
      </c>
    </row>
    <row r="5" spans="1:40" x14ac:dyDescent="0.2">
      <c r="A5" s="28"/>
      <c r="B5" s="8">
        <v>20.432500000000001</v>
      </c>
      <c r="C5" s="8">
        <v>14.9445</v>
      </c>
      <c r="D5" s="8">
        <v>12.541</v>
      </c>
      <c r="E5" s="20">
        <v>18.7285</v>
      </c>
      <c r="G5" s="28"/>
      <c r="H5" s="8">
        <v>9.2635000000000005</v>
      </c>
      <c r="I5" s="8">
        <v>7.0039999999999996</v>
      </c>
      <c r="J5" s="20">
        <v>10.689500000000001</v>
      </c>
      <c r="K5" s="8"/>
      <c r="L5" s="28"/>
      <c r="M5" s="8">
        <v>12.083</v>
      </c>
      <c r="N5" s="8">
        <v>5.2854999999999999</v>
      </c>
      <c r="O5" s="20">
        <v>9.7294999999999998</v>
      </c>
      <c r="P5" s="8"/>
      <c r="Q5" s="28"/>
      <c r="R5" s="8">
        <v>15.063000000000001</v>
      </c>
      <c r="S5" s="1">
        <f>AVERAGE(21.521,16.835)</f>
        <v>19.178000000000001</v>
      </c>
      <c r="T5" s="8">
        <v>3.266</v>
      </c>
      <c r="U5" s="20">
        <v>13.102</v>
      </c>
      <c r="W5" s="28"/>
      <c r="X5" s="8">
        <v>21.521000000000001</v>
      </c>
      <c r="Y5" s="8">
        <v>6.0335000000000001</v>
      </c>
      <c r="Z5" s="8">
        <v>19.553000000000001</v>
      </c>
      <c r="AA5" s="20">
        <v>14.480499999999999</v>
      </c>
      <c r="AC5" s="28"/>
      <c r="AD5" s="8">
        <v>14.688000000000001</v>
      </c>
      <c r="AE5" s="8">
        <v>17.030999999999999</v>
      </c>
      <c r="AF5" s="8">
        <v>1.6140000000000001</v>
      </c>
      <c r="AG5" s="8">
        <v>10.484500000000001</v>
      </c>
      <c r="AH5" s="20">
        <v>13.712</v>
      </c>
      <c r="AJ5" s="28"/>
      <c r="AK5" s="8">
        <v>11.7865</v>
      </c>
      <c r="AL5" s="8">
        <v>3.1154999999999999</v>
      </c>
      <c r="AM5" s="8">
        <v>16.835000000000001</v>
      </c>
      <c r="AN5" s="20">
        <v>21.521000000000001</v>
      </c>
    </row>
    <row r="6" spans="1:40" x14ac:dyDescent="0.2">
      <c r="A6" s="28"/>
      <c r="B6" s="8">
        <v>14.3985</v>
      </c>
      <c r="C6" s="8">
        <v>21.521000000000001</v>
      </c>
      <c r="D6" s="8">
        <v>21.521000000000001</v>
      </c>
      <c r="E6" s="20">
        <v>26.175000000000001</v>
      </c>
      <c r="G6" s="28"/>
      <c r="H6" s="8">
        <v>15.487500000000001</v>
      </c>
      <c r="I6" s="8">
        <v>6.7285000000000004</v>
      </c>
      <c r="J6" s="20">
        <v>12.541</v>
      </c>
      <c r="K6" s="8"/>
      <c r="L6" s="28"/>
      <c r="M6" s="8">
        <v>12.541</v>
      </c>
      <c r="N6" s="8">
        <v>5.3259999999999996</v>
      </c>
      <c r="O6" s="20">
        <v>13.169499999999999</v>
      </c>
      <c r="P6" s="8"/>
      <c r="Q6" s="28"/>
      <c r="R6" s="8">
        <v>13.89</v>
      </c>
      <c r="S6" s="1">
        <f>AVERAGE(21.521,21.521)</f>
        <v>21.521000000000001</v>
      </c>
      <c r="T6" s="8">
        <v>3.7330000000000001</v>
      </c>
      <c r="U6" s="20">
        <v>11.164999999999999</v>
      </c>
      <c r="W6" s="28"/>
      <c r="X6" s="8">
        <v>14.582000000000001</v>
      </c>
      <c r="Y6" s="8">
        <v>5.1334999999999997</v>
      </c>
      <c r="Z6" s="8">
        <v>14.347</v>
      </c>
      <c r="AA6" s="20">
        <v>11.384</v>
      </c>
      <c r="AC6" s="28"/>
      <c r="AD6" s="8">
        <v>12.541</v>
      </c>
      <c r="AE6" s="8">
        <v>13.4435</v>
      </c>
      <c r="AF6" s="8">
        <v>4.665</v>
      </c>
      <c r="AG6" s="8">
        <v>10.9975</v>
      </c>
      <c r="AH6" s="20">
        <v>15.487500000000001</v>
      </c>
      <c r="AJ6" s="28"/>
      <c r="AK6" s="8">
        <v>15.861000000000001</v>
      </c>
      <c r="AL6" s="8">
        <v>3.11</v>
      </c>
      <c r="AM6" s="8">
        <v>13.125999999999999</v>
      </c>
      <c r="AN6" s="20">
        <v>21.521000000000001</v>
      </c>
    </row>
    <row r="7" spans="1:40" x14ac:dyDescent="0.2">
      <c r="A7" s="28"/>
      <c r="B7" s="8">
        <v>21.521000000000001</v>
      </c>
      <c r="C7" s="8">
        <v>21.521000000000001</v>
      </c>
      <c r="D7" s="8">
        <v>21.521000000000001</v>
      </c>
      <c r="E7" s="20">
        <v>26.175000000000001</v>
      </c>
      <c r="G7" s="28"/>
      <c r="H7" s="8">
        <v>14.688000000000001</v>
      </c>
      <c r="I7" s="8">
        <v>9.5549999999999997</v>
      </c>
      <c r="J7" s="20">
        <v>8.7669999999999995</v>
      </c>
      <c r="K7" s="8"/>
      <c r="L7" s="28"/>
      <c r="M7" s="8">
        <v>12.083</v>
      </c>
      <c r="N7" s="1">
        <v>12.541</v>
      </c>
      <c r="O7" s="20">
        <v>11.5115</v>
      </c>
      <c r="P7" s="8"/>
      <c r="Q7" s="28"/>
      <c r="R7" s="8">
        <v>21.521000000000001</v>
      </c>
      <c r="S7" s="1">
        <f>AVERAGE(16.835,21.521)</f>
        <v>19.178000000000001</v>
      </c>
      <c r="T7" s="8">
        <v>3.7330000000000001</v>
      </c>
      <c r="U7" s="20">
        <v>12.0625</v>
      </c>
      <c r="W7" s="28"/>
      <c r="X7" s="8">
        <v>21.521000000000001</v>
      </c>
      <c r="Y7" s="8">
        <v>5.1532499999999999</v>
      </c>
      <c r="Z7" s="8">
        <v>19.178000000000001</v>
      </c>
      <c r="AA7" s="20">
        <v>9.4540000000000006</v>
      </c>
      <c r="AC7" s="28"/>
      <c r="AD7" s="8">
        <v>14.137</v>
      </c>
      <c r="AE7" s="8">
        <v>15.465500000000002</v>
      </c>
      <c r="AF7" s="8">
        <v>5.6159999999999997</v>
      </c>
      <c r="AG7" s="8">
        <v>16.551500000000001</v>
      </c>
      <c r="AH7" s="20">
        <v>15.410500000000001</v>
      </c>
      <c r="AJ7" s="28"/>
      <c r="AK7" s="8">
        <v>19.178000000000001</v>
      </c>
      <c r="AL7" s="8">
        <v>3.11</v>
      </c>
      <c r="AM7" s="8">
        <v>13.361000000000001</v>
      </c>
      <c r="AN7" s="20">
        <v>10.337999999999999</v>
      </c>
    </row>
    <row r="8" spans="1:40" x14ac:dyDescent="0.2">
      <c r="A8" s="28"/>
      <c r="B8" s="8">
        <v>19.178000000000001</v>
      </c>
      <c r="C8" s="8">
        <v>21.521000000000001</v>
      </c>
      <c r="D8" s="8">
        <v>27.741</v>
      </c>
      <c r="E8" s="20">
        <v>16.8325</v>
      </c>
      <c r="G8" s="28"/>
      <c r="H8" s="8">
        <v>19.553000000000001</v>
      </c>
      <c r="I8" s="8">
        <v>6.8254999999999999</v>
      </c>
      <c r="J8" s="20">
        <v>17.030999999999999</v>
      </c>
      <c r="K8" s="8"/>
      <c r="L8" s="28"/>
      <c r="M8" s="8">
        <v>13.016999999999999</v>
      </c>
      <c r="N8" s="8">
        <v>4.0155000000000003</v>
      </c>
      <c r="O8" s="20">
        <v>18.290500000000002</v>
      </c>
      <c r="P8" s="8"/>
      <c r="Q8" s="28"/>
      <c r="R8" s="8">
        <v>21.521000000000001</v>
      </c>
      <c r="S8" s="8"/>
      <c r="T8" s="8">
        <v>4.3265000000000002</v>
      </c>
      <c r="U8" s="20">
        <v>14.688000000000001</v>
      </c>
      <c r="W8" s="28"/>
      <c r="X8" s="8">
        <v>21.521000000000001</v>
      </c>
      <c r="Y8" s="8">
        <v>4.7930000000000001</v>
      </c>
      <c r="Z8" s="8">
        <v>19.178000000000001</v>
      </c>
      <c r="AA8" s="20">
        <v>10.2925</v>
      </c>
      <c r="AC8" s="28"/>
      <c r="AD8" s="8">
        <v>21.521000000000001</v>
      </c>
      <c r="AE8" s="8">
        <v>21.521000000000001</v>
      </c>
      <c r="AF8" s="8">
        <v>4.3174999999999999</v>
      </c>
      <c r="AG8" s="8">
        <v>16.573</v>
      </c>
      <c r="AH8" s="20">
        <v>21.521000000000001</v>
      </c>
      <c r="AJ8" s="28"/>
      <c r="AK8" s="8">
        <v>17.030999999999999</v>
      </c>
      <c r="AL8" s="8">
        <v>5.12</v>
      </c>
      <c r="AM8" s="8">
        <v>10.471</v>
      </c>
      <c r="AN8" s="20">
        <v>18.995999999999999</v>
      </c>
    </row>
    <row r="9" spans="1:40" x14ac:dyDescent="0.2">
      <c r="A9" s="28"/>
      <c r="B9" s="8">
        <v>21.521000000000001</v>
      </c>
      <c r="C9" s="8">
        <v>21.521000000000001</v>
      </c>
      <c r="D9" s="8"/>
      <c r="E9" s="20">
        <v>26.175000000000001</v>
      </c>
      <c r="G9" s="28"/>
      <c r="H9" s="8">
        <v>21.521000000000001</v>
      </c>
      <c r="I9" s="8">
        <v>10.8515</v>
      </c>
      <c r="J9" s="20">
        <v>11.125999999999999</v>
      </c>
      <c r="K9" s="8"/>
      <c r="L9" s="28"/>
      <c r="M9" s="8">
        <v>15.343500000000001</v>
      </c>
      <c r="N9" s="8">
        <v>8.8305000000000007</v>
      </c>
      <c r="O9" s="20">
        <v>9.1555</v>
      </c>
      <c r="P9" s="8"/>
      <c r="Q9" s="28"/>
      <c r="R9" s="8">
        <v>21.521000000000001</v>
      </c>
      <c r="S9" s="8"/>
      <c r="T9" s="8">
        <v>5.7525000000000004</v>
      </c>
      <c r="U9" s="20">
        <v>19.178000000000001</v>
      </c>
      <c r="W9" s="28"/>
      <c r="X9" s="8">
        <v>10.454499999999999</v>
      </c>
      <c r="Y9" s="8">
        <v>3.4624999999999999</v>
      </c>
      <c r="Z9" s="8">
        <v>15.861000000000001</v>
      </c>
      <c r="AA9" s="20">
        <v>12.8215</v>
      </c>
      <c r="AC9" s="28"/>
      <c r="AD9" s="8">
        <v>17.404</v>
      </c>
      <c r="AE9" s="36">
        <v>20.349499999999999</v>
      </c>
      <c r="AF9" s="8">
        <v>10.352</v>
      </c>
      <c r="AG9" s="8">
        <v>19.178000000000001</v>
      </c>
      <c r="AH9" s="20">
        <v>11.73</v>
      </c>
      <c r="AJ9" s="28"/>
      <c r="AK9" s="8">
        <v>8.3680000000000003</v>
      </c>
      <c r="AL9" s="8">
        <v>6.1154999999999999</v>
      </c>
      <c r="AM9" s="8">
        <v>21.521000000000001</v>
      </c>
      <c r="AN9" s="20">
        <v>17.585000000000001</v>
      </c>
    </row>
    <row r="10" spans="1:40" x14ac:dyDescent="0.2">
      <c r="A10" s="28"/>
      <c r="B10" s="8">
        <v>21.521000000000001</v>
      </c>
      <c r="C10" s="8">
        <v>14.480499999999999</v>
      </c>
      <c r="D10" s="8"/>
      <c r="E10" s="20">
        <v>16.271999999999998</v>
      </c>
      <c r="G10" s="28"/>
      <c r="H10" s="8">
        <v>13.339</v>
      </c>
      <c r="I10" s="8">
        <v>7.3535000000000004</v>
      </c>
      <c r="J10" s="20">
        <v>21.521000000000001</v>
      </c>
      <c r="K10" s="8"/>
      <c r="L10" s="28"/>
      <c r="M10" s="35">
        <v>8.51</v>
      </c>
      <c r="N10" s="8">
        <v>6.4160000000000004</v>
      </c>
      <c r="O10" s="20">
        <v>23.387</v>
      </c>
      <c r="P10" s="8"/>
      <c r="Q10" s="28"/>
      <c r="R10" s="8">
        <v>21.521000000000001</v>
      </c>
      <c r="S10" s="8"/>
      <c r="T10" s="8">
        <v>4.9820000000000002</v>
      </c>
      <c r="U10" s="20">
        <v>21.521000000000001</v>
      </c>
      <c r="W10" s="28"/>
      <c r="X10" s="8">
        <v>16.835000000000001</v>
      </c>
      <c r="Y10" s="8">
        <v>7.0955000000000004</v>
      </c>
      <c r="Z10" s="8">
        <v>11.824999999999999</v>
      </c>
      <c r="AA10" s="20">
        <v>10.5395</v>
      </c>
      <c r="AC10" s="28"/>
      <c r="AD10" s="8">
        <v>20.258500000000002</v>
      </c>
      <c r="AF10" s="8">
        <v>4.798</v>
      </c>
      <c r="AG10" s="8">
        <v>21.521000000000001</v>
      </c>
      <c r="AH10" s="20">
        <v>21.521000000000001</v>
      </c>
      <c r="AJ10" s="28"/>
      <c r="AK10" s="8">
        <v>20.050999999999998</v>
      </c>
      <c r="AL10" s="8">
        <v>9.5470000000000006</v>
      </c>
      <c r="AM10" s="8">
        <v>21.521000000000001</v>
      </c>
      <c r="AN10" s="20">
        <v>10.8535</v>
      </c>
    </row>
    <row r="11" spans="1:40" x14ac:dyDescent="0.2">
      <c r="A11" s="28"/>
      <c r="B11" s="8">
        <v>21.521000000000001</v>
      </c>
      <c r="C11" s="8">
        <v>21.521000000000001</v>
      </c>
      <c r="D11" s="8"/>
      <c r="E11" s="20">
        <v>23.103999999999999</v>
      </c>
      <c r="G11" s="28"/>
      <c r="H11" s="8">
        <v>21.521000000000001</v>
      </c>
      <c r="I11" s="8">
        <v>11.1715</v>
      </c>
      <c r="J11" s="20">
        <v>18.489000000000001</v>
      </c>
      <c r="K11" s="8"/>
      <c r="L11" s="28"/>
      <c r="M11" s="8">
        <v>21.521000000000001</v>
      </c>
      <c r="N11" s="8">
        <v>9.4540000000000006</v>
      </c>
      <c r="O11" s="20">
        <v>21.521000000000001</v>
      </c>
      <c r="P11" s="8"/>
      <c r="Q11" s="28"/>
      <c r="R11" s="8">
        <v>21.521000000000001</v>
      </c>
      <c r="S11" s="36"/>
      <c r="T11" s="8">
        <v>5.1635</v>
      </c>
      <c r="U11" s="20">
        <v>21.521000000000001</v>
      </c>
      <c r="W11" s="28"/>
      <c r="X11" s="8">
        <v>21.521000000000001</v>
      </c>
      <c r="Y11" s="8">
        <v>4.2080000000000002</v>
      </c>
      <c r="Z11" s="8"/>
      <c r="AA11" s="20"/>
      <c r="AC11" s="28"/>
      <c r="AD11" s="8">
        <v>16.566500000000001</v>
      </c>
      <c r="AF11" s="8">
        <v>5.0465</v>
      </c>
      <c r="AG11" s="8">
        <v>21.521000000000001</v>
      </c>
      <c r="AH11" s="20">
        <v>21.521000000000001</v>
      </c>
      <c r="AJ11" s="28"/>
      <c r="AK11" s="8">
        <v>20.258500000000002</v>
      </c>
      <c r="AL11" s="8">
        <v>5.8724999999999996</v>
      </c>
      <c r="AM11" s="8">
        <v>21.521000000000001</v>
      </c>
      <c r="AN11" s="20">
        <v>16.729500000000002</v>
      </c>
    </row>
    <row r="12" spans="1:40" x14ac:dyDescent="0.2">
      <c r="A12" s="28"/>
      <c r="B12" s="8">
        <v>21.521000000000001</v>
      </c>
      <c r="C12" s="8">
        <v>21.521000000000001</v>
      </c>
      <c r="D12" s="8"/>
      <c r="E12" s="29"/>
      <c r="G12" s="28"/>
      <c r="H12" s="8">
        <v>21.521000000000001</v>
      </c>
      <c r="I12" s="8">
        <v>14.6815</v>
      </c>
      <c r="J12" s="20">
        <v>21.521000000000001</v>
      </c>
      <c r="K12" s="8"/>
      <c r="L12" s="28"/>
      <c r="M12" s="8">
        <v>21.521000000000001</v>
      </c>
      <c r="N12" s="8">
        <v>8.4779999999999998</v>
      </c>
      <c r="O12" s="20">
        <v>21.521000000000001</v>
      </c>
      <c r="P12" s="8"/>
      <c r="Q12" s="28"/>
      <c r="R12" s="8">
        <v>21.521000000000001</v>
      </c>
      <c r="S12" s="7"/>
      <c r="T12" s="8">
        <v>2.5215000000000001</v>
      </c>
      <c r="U12" s="20"/>
      <c r="W12" s="28"/>
      <c r="X12" s="8">
        <v>21.521000000000001</v>
      </c>
      <c r="Y12" s="8">
        <v>5.6820000000000004</v>
      </c>
      <c r="Z12" s="8"/>
      <c r="AA12" s="20"/>
      <c r="AC12" s="28"/>
      <c r="AD12" s="8">
        <v>21.521000000000001</v>
      </c>
      <c r="AE12" s="7"/>
      <c r="AF12" s="8">
        <v>4.4504999999999999</v>
      </c>
      <c r="AG12" s="8">
        <v>23.387</v>
      </c>
      <c r="AH12" s="20"/>
      <c r="AJ12" s="28"/>
      <c r="AK12" s="8">
        <v>23.626999999999999</v>
      </c>
      <c r="AL12" s="8">
        <v>4.3174999999999999</v>
      </c>
      <c r="AM12" s="8">
        <v>18.995999999999999</v>
      </c>
      <c r="AN12" s="20"/>
    </row>
    <row r="13" spans="1:40" x14ac:dyDescent="0.2">
      <c r="A13" s="28"/>
      <c r="C13" s="33">
        <v>14.71725</v>
      </c>
      <c r="D13" s="8"/>
      <c r="E13" s="20"/>
      <c r="G13" s="28"/>
      <c r="H13" s="8">
        <v>21.521000000000001</v>
      </c>
      <c r="I13" s="8">
        <v>6.5960000000000001</v>
      </c>
      <c r="J13" s="20"/>
      <c r="K13" s="8"/>
      <c r="L13" s="28"/>
      <c r="M13" s="8">
        <v>10.3635</v>
      </c>
      <c r="N13" s="8">
        <v>5.52</v>
      </c>
      <c r="O13" s="20"/>
      <c r="P13" s="8"/>
      <c r="Q13" s="28"/>
      <c r="R13" s="8">
        <v>17.311499999999999</v>
      </c>
      <c r="S13" s="8"/>
      <c r="T13" s="8">
        <v>9.8010000000000002</v>
      </c>
      <c r="U13" s="20"/>
      <c r="W13" s="28"/>
      <c r="X13" s="8">
        <v>19.553000000000001</v>
      </c>
      <c r="Y13" s="8">
        <v>3.7955000000000001</v>
      </c>
      <c r="Z13" s="8"/>
      <c r="AA13" s="20"/>
      <c r="AC13" s="28"/>
      <c r="AD13" s="8">
        <v>21.521000000000001</v>
      </c>
      <c r="AE13" s="8"/>
      <c r="AF13" s="8">
        <v>3.8704999999999998</v>
      </c>
      <c r="AG13" s="8">
        <v>21.553000000000001</v>
      </c>
      <c r="AH13" s="20"/>
      <c r="AJ13" s="28"/>
      <c r="AK13" s="8">
        <v>22.486999999999998</v>
      </c>
      <c r="AL13" s="8">
        <v>6.22</v>
      </c>
      <c r="AM13" s="8">
        <v>17.829000000000001</v>
      </c>
      <c r="AN13" s="20"/>
    </row>
    <row r="14" spans="1:40" x14ac:dyDescent="0.2">
      <c r="A14" s="28"/>
      <c r="C14" s="33">
        <v>21.521000000000001</v>
      </c>
      <c r="D14" s="8"/>
      <c r="E14" s="20"/>
      <c r="G14" s="28"/>
      <c r="H14" s="8">
        <v>21.521000000000001</v>
      </c>
      <c r="I14" s="8">
        <v>5.7679999999999998</v>
      </c>
      <c r="J14" s="20"/>
      <c r="K14" s="8"/>
      <c r="L14" s="28"/>
      <c r="M14" s="8">
        <v>16.835000000000001</v>
      </c>
      <c r="N14" s="8">
        <v>7.4675000000000002</v>
      </c>
      <c r="O14" s="20"/>
      <c r="P14" s="8"/>
      <c r="Q14" s="28"/>
      <c r="R14" s="8">
        <v>19.553000000000001</v>
      </c>
      <c r="S14" s="8"/>
      <c r="T14" s="8">
        <v>5.4889999999999999</v>
      </c>
      <c r="U14" s="20"/>
      <c r="W14" s="28"/>
      <c r="X14" s="8">
        <v>15.486000000000001</v>
      </c>
      <c r="Y14" s="8">
        <v>7.73</v>
      </c>
      <c r="Z14" s="8"/>
      <c r="AA14" s="20"/>
      <c r="AC14" s="28"/>
      <c r="AD14" s="8">
        <v>17.155000000000001</v>
      </c>
      <c r="AE14" s="8"/>
      <c r="AF14" s="8">
        <v>2.6745000000000001</v>
      </c>
      <c r="AG14" s="8">
        <v>21.521000000000001</v>
      </c>
      <c r="AH14" s="20"/>
      <c r="AJ14" s="28"/>
      <c r="AK14" s="8">
        <v>10.57385</v>
      </c>
      <c r="AL14" s="8">
        <v>4.5374999999999996</v>
      </c>
      <c r="AM14" s="8">
        <v>21.521000000000001</v>
      </c>
      <c r="AN14" s="20"/>
    </row>
    <row r="15" spans="1:40" x14ac:dyDescent="0.2">
      <c r="A15" s="28"/>
      <c r="E15" s="29"/>
      <c r="G15" s="28"/>
      <c r="H15" s="8"/>
      <c r="I15" s="8"/>
      <c r="J15" s="20"/>
      <c r="K15" s="8"/>
      <c r="L15" s="28"/>
      <c r="M15" s="8">
        <v>18.798999999999999</v>
      </c>
      <c r="N15" s="8"/>
      <c r="O15" s="20"/>
      <c r="P15" s="8"/>
      <c r="Q15" s="28"/>
      <c r="R15" s="8">
        <v>17.311499999999999</v>
      </c>
      <c r="S15" s="8"/>
      <c r="T15" s="8">
        <v>9.5540000000000003</v>
      </c>
      <c r="U15" s="20"/>
      <c r="W15" s="28"/>
      <c r="X15" s="36">
        <f>AVERAGE(18.159,18.159)</f>
        <v>18.158999999999999</v>
      </c>
      <c r="Y15" s="8"/>
      <c r="Z15" s="8"/>
      <c r="AA15" s="20"/>
      <c r="AC15" s="28"/>
      <c r="AD15" s="8">
        <v>19.713000000000001</v>
      </c>
      <c r="AE15" s="8"/>
      <c r="AF15" s="8">
        <v>5.6529999999999996</v>
      </c>
      <c r="AG15" s="8">
        <v>19.495999999999999</v>
      </c>
      <c r="AH15" s="20"/>
      <c r="AJ15" s="28"/>
      <c r="AK15" s="8">
        <v>11.379250000000001</v>
      </c>
      <c r="AL15" s="8">
        <v>3.0950000000000002</v>
      </c>
      <c r="AM15" s="8">
        <v>21.521000000000001</v>
      </c>
      <c r="AN15" s="20"/>
    </row>
    <row r="16" spans="1:40" x14ac:dyDescent="0.2">
      <c r="A16" s="28"/>
      <c r="E16" s="29"/>
      <c r="G16" s="28"/>
      <c r="H16" s="8"/>
      <c r="I16" s="8"/>
      <c r="J16" s="20"/>
      <c r="K16" s="8"/>
      <c r="L16" s="28"/>
      <c r="M16" s="8">
        <v>26.175000000000001</v>
      </c>
      <c r="N16" s="8"/>
      <c r="O16" s="20"/>
      <c r="Q16" s="28"/>
      <c r="R16" s="8">
        <v>18.387</v>
      </c>
      <c r="S16" s="8"/>
      <c r="T16" s="8">
        <v>8.4329999999999998</v>
      </c>
      <c r="U16" s="20"/>
      <c r="W16" s="28"/>
      <c r="X16" s="36">
        <f>AVERAGE(18.996,21.521)</f>
        <v>20.258499999999998</v>
      </c>
      <c r="Y16" s="8"/>
      <c r="Z16" s="8"/>
      <c r="AA16" s="20"/>
      <c r="AC16" s="28"/>
      <c r="AD16" s="8">
        <v>15.10005</v>
      </c>
      <c r="AE16" s="8"/>
      <c r="AF16" s="8">
        <v>6.1935000000000002</v>
      </c>
      <c r="AG16" s="8"/>
      <c r="AH16" s="20"/>
      <c r="AJ16" s="28"/>
      <c r="AK16" s="8">
        <v>18.97325</v>
      </c>
      <c r="AL16" s="8">
        <v>2.8180000000000001</v>
      </c>
      <c r="AM16" s="8"/>
      <c r="AN16" s="20"/>
    </row>
    <row r="17" spans="1:40" x14ac:dyDescent="0.2">
      <c r="A17" s="21" t="s">
        <v>9</v>
      </c>
      <c r="B17" s="8">
        <v>20.2</v>
      </c>
      <c r="C17" s="8">
        <v>19.48</v>
      </c>
      <c r="D17" s="8">
        <v>20.83</v>
      </c>
      <c r="E17" s="20">
        <v>21.92</v>
      </c>
      <c r="G17" s="21" t="s">
        <v>9</v>
      </c>
      <c r="H17" s="8">
        <v>17.989999999999998</v>
      </c>
      <c r="I17" s="8">
        <v>8.6539999999999999</v>
      </c>
      <c r="J17" s="20">
        <v>15.21</v>
      </c>
      <c r="K17" s="8"/>
      <c r="L17" s="28"/>
      <c r="M17" s="8">
        <v>12.42625</v>
      </c>
      <c r="N17" s="8"/>
      <c r="O17" s="20"/>
      <c r="P17" s="8"/>
      <c r="Q17" s="28"/>
      <c r="R17" s="8">
        <v>19.553000000000001</v>
      </c>
      <c r="S17" s="8"/>
      <c r="T17" s="8">
        <v>9.7155000000000005</v>
      </c>
      <c r="U17" s="20"/>
      <c r="W17" s="28"/>
      <c r="X17" s="8"/>
      <c r="Y17" s="8"/>
      <c r="Z17" s="8"/>
      <c r="AA17" s="20"/>
      <c r="AC17" s="28"/>
      <c r="AD17" s="8">
        <v>14.793950000000001</v>
      </c>
      <c r="AE17" s="8"/>
      <c r="AF17" s="8">
        <v>2.0225</v>
      </c>
      <c r="AG17" s="8"/>
      <c r="AH17" s="20"/>
      <c r="AJ17" s="28"/>
      <c r="AK17" s="8">
        <v>21.863350000000001</v>
      </c>
      <c r="AL17" s="8">
        <v>2.8879999999999999</v>
      </c>
      <c r="AM17" s="8"/>
      <c r="AN17" s="20"/>
    </row>
    <row r="18" spans="1:40" x14ac:dyDescent="0.2">
      <c r="A18" s="21" t="s">
        <v>10</v>
      </c>
      <c r="B18" s="8">
        <v>2.492</v>
      </c>
      <c r="C18" s="8">
        <v>3.29</v>
      </c>
      <c r="D18" s="8">
        <v>6.2560000000000002</v>
      </c>
      <c r="E18" s="20">
        <v>4.54</v>
      </c>
      <c r="G18" s="21" t="s">
        <v>10</v>
      </c>
      <c r="H18" s="8">
        <v>4.4690000000000003</v>
      </c>
      <c r="I18" s="8">
        <v>2.835</v>
      </c>
      <c r="J18" s="20">
        <v>5.0640000000000001</v>
      </c>
      <c r="K18" s="8"/>
      <c r="L18" s="28"/>
      <c r="M18" s="8">
        <v>13.6455</v>
      </c>
      <c r="N18" s="8"/>
      <c r="O18" s="20"/>
      <c r="P18" s="8"/>
      <c r="Q18" s="28"/>
      <c r="R18" s="8"/>
      <c r="S18" s="8"/>
      <c r="T18" s="8">
        <v>7.3470000000000004</v>
      </c>
      <c r="U18" s="20"/>
      <c r="W18" s="28"/>
      <c r="AA18" s="29"/>
      <c r="AC18" s="28"/>
      <c r="AD18" s="8">
        <v>13.6455</v>
      </c>
      <c r="AE18" s="8"/>
      <c r="AF18" s="8">
        <v>2.6404999999999998</v>
      </c>
      <c r="AG18" s="8"/>
      <c r="AH18" s="20"/>
      <c r="AJ18" s="28"/>
      <c r="AK18" s="8"/>
      <c r="AL18" s="8">
        <v>3.4615</v>
      </c>
      <c r="AM18" s="8"/>
      <c r="AN18" s="20"/>
    </row>
    <row r="19" spans="1:40" x14ac:dyDescent="0.2">
      <c r="A19" s="21" t="s">
        <v>11</v>
      </c>
      <c r="B19" s="8">
        <v>0.88119999999999998</v>
      </c>
      <c r="C19" s="8">
        <v>1.04</v>
      </c>
      <c r="D19" s="8">
        <v>3.1280000000000001</v>
      </c>
      <c r="E19" s="20">
        <v>1.716</v>
      </c>
      <c r="G19" s="21" t="s">
        <v>11</v>
      </c>
      <c r="H19" s="8">
        <v>1.413</v>
      </c>
      <c r="I19" s="8">
        <v>0.89649999999999996</v>
      </c>
      <c r="J19" s="20">
        <v>1.79</v>
      </c>
      <c r="K19" s="8"/>
      <c r="L19" s="28"/>
      <c r="M19" s="8">
        <v>12.42625</v>
      </c>
      <c r="N19" s="8"/>
      <c r="O19" s="20"/>
      <c r="P19" s="8"/>
      <c r="Q19" s="28"/>
      <c r="R19" s="8"/>
      <c r="S19" s="8"/>
      <c r="U19" s="20"/>
      <c r="W19" s="21" t="s">
        <v>9</v>
      </c>
      <c r="X19" s="8">
        <v>18.579999999999998</v>
      </c>
      <c r="Y19" s="8">
        <v>5.3090000000000002</v>
      </c>
      <c r="Z19" s="8">
        <v>16.66</v>
      </c>
      <c r="AA19" s="20">
        <v>11.5</v>
      </c>
      <c r="AC19" s="28"/>
      <c r="AD19" s="8">
        <v>13.486700000000001</v>
      </c>
      <c r="AE19" s="8"/>
      <c r="AF19" s="8">
        <v>9.0914999999999999</v>
      </c>
      <c r="AG19" s="8"/>
      <c r="AH19" s="20"/>
      <c r="AJ19" s="28"/>
      <c r="AK19" s="8"/>
      <c r="AL19" s="8">
        <v>9.41</v>
      </c>
      <c r="AM19" s="8"/>
      <c r="AN19" s="20"/>
    </row>
    <row r="20" spans="1:40" x14ac:dyDescent="0.2">
      <c r="A20" s="21"/>
      <c r="B20" s="8"/>
      <c r="C20" s="8"/>
      <c r="D20" s="8"/>
      <c r="E20" s="20"/>
      <c r="G20" s="28"/>
      <c r="H20" s="8"/>
      <c r="J20" s="20"/>
      <c r="K20" s="8"/>
      <c r="L20" s="28"/>
      <c r="M20" s="8">
        <v>16.561150000000001</v>
      </c>
      <c r="N20" s="8"/>
      <c r="O20" s="20"/>
      <c r="P20" s="8"/>
      <c r="Q20" s="28"/>
      <c r="S20" s="8"/>
      <c r="U20" s="29"/>
      <c r="W20" s="21" t="s">
        <v>10</v>
      </c>
      <c r="X20" s="8">
        <v>3.5910000000000002</v>
      </c>
      <c r="Y20" s="8">
        <v>1.3720000000000001</v>
      </c>
      <c r="Z20" s="8">
        <v>3.1749999999999998</v>
      </c>
      <c r="AA20" s="20">
        <v>1.855</v>
      </c>
      <c r="AC20" s="28"/>
      <c r="AD20" s="8"/>
      <c r="AE20" s="8"/>
      <c r="AF20" s="8"/>
      <c r="AG20" s="8"/>
      <c r="AH20" s="20"/>
      <c r="AJ20" s="28"/>
      <c r="AN20" s="29"/>
    </row>
    <row r="21" spans="1:40" x14ac:dyDescent="0.2">
      <c r="A21" s="28"/>
      <c r="B21" s="1" t="s">
        <v>255</v>
      </c>
      <c r="C21" s="1" t="s">
        <v>256</v>
      </c>
      <c r="D21" s="1" t="s">
        <v>257</v>
      </c>
      <c r="E21" s="29" t="s">
        <v>258</v>
      </c>
      <c r="G21" s="28"/>
      <c r="H21" s="1" t="s">
        <v>255</v>
      </c>
      <c r="I21" s="1" t="s">
        <v>256</v>
      </c>
      <c r="J21" s="29" t="s">
        <v>257</v>
      </c>
      <c r="L21" s="28"/>
      <c r="M21" s="8">
        <v>24.107500000000002</v>
      </c>
      <c r="N21" s="8"/>
      <c r="O21" s="20"/>
      <c r="Q21" s="21" t="s">
        <v>9</v>
      </c>
      <c r="R21" s="8">
        <v>18.77</v>
      </c>
      <c r="S21" s="8">
        <v>20.11</v>
      </c>
      <c r="T21" s="8">
        <v>5.7469999999999999</v>
      </c>
      <c r="U21" s="20">
        <v>15.63</v>
      </c>
      <c r="W21" s="21" t="s">
        <v>11</v>
      </c>
      <c r="X21" s="8">
        <v>1.0369999999999999</v>
      </c>
      <c r="Y21" s="8">
        <v>0.434</v>
      </c>
      <c r="Z21" s="8">
        <v>1.296</v>
      </c>
      <c r="AA21" s="20">
        <v>0.75739999999999996</v>
      </c>
      <c r="AC21" s="21" t="s">
        <v>9</v>
      </c>
      <c r="AD21" s="8">
        <v>16.739999999999998</v>
      </c>
      <c r="AE21" s="8">
        <v>17.53</v>
      </c>
      <c r="AF21" s="8">
        <v>4.8639999999999999</v>
      </c>
      <c r="AG21" s="8">
        <v>17.809999999999999</v>
      </c>
      <c r="AH21" s="20">
        <v>16.91</v>
      </c>
      <c r="AJ21" s="28"/>
      <c r="AN21" s="29"/>
    </row>
    <row r="22" spans="1:40" x14ac:dyDescent="0.2">
      <c r="A22" s="28" t="s">
        <v>254</v>
      </c>
      <c r="B22" s="1">
        <v>0.64600000000000002</v>
      </c>
      <c r="C22" s="8">
        <v>0.97940000000000005</v>
      </c>
      <c r="D22" s="8">
        <v>0.93579999999999997</v>
      </c>
      <c r="E22" s="20">
        <v>0.59050000000000002</v>
      </c>
      <c r="G22" s="28" t="s">
        <v>254</v>
      </c>
      <c r="H22" s="1" t="s">
        <v>260</v>
      </c>
      <c r="I22" s="8" t="s">
        <v>260</v>
      </c>
      <c r="J22" s="20" t="s">
        <v>263</v>
      </c>
      <c r="L22" s="28"/>
      <c r="M22" s="8">
        <v>12.724500000000001</v>
      </c>
      <c r="N22" s="8"/>
      <c r="O22" s="20"/>
      <c r="Q22" s="21" t="s">
        <v>10</v>
      </c>
      <c r="R22" s="8">
        <v>3.13</v>
      </c>
      <c r="S22" s="8">
        <v>1.147</v>
      </c>
      <c r="T22" s="8">
        <v>2.61</v>
      </c>
      <c r="U22" s="20">
        <v>4.4130000000000003</v>
      </c>
      <c r="W22" s="21"/>
      <c r="X22" s="8"/>
      <c r="Y22" s="8"/>
      <c r="Z22" s="8"/>
      <c r="AA22" s="20"/>
      <c r="AC22" s="21" t="s">
        <v>10</v>
      </c>
      <c r="AD22" s="8">
        <v>3.2130000000000001</v>
      </c>
      <c r="AE22" s="8">
        <v>3.004</v>
      </c>
      <c r="AF22" s="8">
        <v>2.3220000000000001</v>
      </c>
      <c r="AG22" s="8">
        <v>4.6890000000000001</v>
      </c>
      <c r="AH22" s="20">
        <v>3.9940000000000002</v>
      </c>
      <c r="AJ22" s="21" t="s">
        <v>9</v>
      </c>
      <c r="AK22" s="8">
        <v>16.559999999999999</v>
      </c>
      <c r="AL22" s="8">
        <v>4.7649999999999997</v>
      </c>
      <c r="AM22" s="8">
        <v>17.36</v>
      </c>
      <c r="AN22" s="20">
        <v>17.190000000000001</v>
      </c>
    </row>
    <row r="23" spans="1:40" x14ac:dyDescent="0.2">
      <c r="A23" s="30" t="s">
        <v>259</v>
      </c>
      <c r="B23" s="31"/>
      <c r="C23" s="31">
        <v>0.7</v>
      </c>
      <c r="D23" s="31">
        <v>0.56399999999999995</v>
      </c>
      <c r="E23" s="32">
        <v>0.2162</v>
      </c>
      <c r="G23" s="28" t="s">
        <v>259</v>
      </c>
      <c r="I23" s="1" t="s">
        <v>261</v>
      </c>
      <c r="J23" s="29" t="s">
        <v>262</v>
      </c>
      <c r="L23" s="28"/>
      <c r="M23" s="8">
        <v>28.765000000000001</v>
      </c>
      <c r="N23" s="8"/>
      <c r="O23" s="20"/>
      <c r="Q23" s="21" t="s">
        <v>11</v>
      </c>
      <c r="R23" s="8">
        <v>0.83660000000000001</v>
      </c>
      <c r="S23" s="8">
        <v>0.5736</v>
      </c>
      <c r="T23" s="8">
        <v>0.67400000000000004</v>
      </c>
      <c r="U23" s="20">
        <v>1.56</v>
      </c>
      <c r="W23" s="21"/>
      <c r="X23" s="8"/>
      <c r="Y23" s="8"/>
      <c r="Z23" s="8"/>
      <c r="AA23" s="20"/>
      <c r="AC23" s="21" t="s">
        <v>11</v>
      </c>
      <c r="AD23" s="8">
        <v>0.80330000000000001</v>
      </c>
      <c r="AE23" s="8">
        <v>1.226</v>
      </c>
      <c r="AF23" s="8">
        <v>0.58040000000000003</v>
      </c>
      <c r="AG23" s="8">
        <v>1.3540000000000001</v>
      </c>
      <c r="AH23" s="20">
        <v>1.4119999999999999</v>
      </c>
      <c r="AJ23" s="21" t="s">
        <v>10</v>
      </c>
      <c r="AK23" s="8">
        <v>5.1420000000000003</v>
      </c>
      <c r="AL23" s="8">
        <v>2.1840000000000002</v>
      </c>
      <c r="AM23" s="8">
        <v>4.5179999999999998</v>
      </c>
      <c r="AN23" s="20">
        <v>4.4059999999999997</v>
      </c>
    </row>
    <row r="24" spans="1:40" x14ac:dyDescent="0.2">
      <c r="G24" s="30"/>
      <c r="H24" s="31"/>
      <c r="I24" s="31"/>
      <c r="J24" s="32"/>
      <c r="L24" s="28"/>
      <c r="M24" s="8">
        <v>20.556000000000001</v>
      </c>
      <c r="N24" s="8"/>
      <c r="O24" s="20"/>
      <c r="Q24" s="28"/>
      <c r="U24" s="29"/>
      <c r="W24" s="28"/>
      <c r="X24" s="1" t="s">
        <v>255</v>
      </c>
      <c r="Y24" s="1" t="s">
        <v>256</v>
      </c>
      <c r="Z24" s="1" t="s">
        <v>257</v>
      </c>
      <c r="AA24" s="29" t="s">
        <v>258</v>
      </c>
      <c r="AC24" s="21"/>
      <c r="AD24" s="8"/>
      <c r="AE24" s="8"/>
      <c r="AF24" s="8"/>
      <c r="AG24" s="8"/>
      <c r="AH24" s="20"/>
      <c r="AJ24" s="21" t="s">
        <v>11</v>
      </c>
      <c r="AK24" s="8">
        <v>1.3740000000000001</v>
      </c>
      <c r="AL24" s="8">
        <v>0.54610000000000003</v>
      </c>
      <c r="AM24" s="8">
        <v>1.304</v>
      </c>
      <c r="AN24" s="20">
        <v>1.5580000000000001</v>
      </c>
    </row>
    <row r="25" spans="1:40" x14ac:dyDescent="0.2">
      <c r="L25" s="28"/>
      <c r="M25" s="8">
        <v>24.639500000000002</v>
      </c>
      <c r="N25" s="8"/>
      <c r="O25" s="20"/>
      <c r="Q25" s="28"/>
      <c r="R25" s="1" t="s">
        <v>255</v>
      </c>
      <c r="S25" s="1" t="s">
        <v>266</v>
      </c>
      <c r="T25" s="1" t="s">
        <v>267</v>
      </c>
      <c r="U25" s="29" t="s">
        <v>268</v>
      </c>
      <c r="W25" s="28" t="s">
        <v>254</v>
      </c>
      <c r="X25" s="1" t="s">
        <v>261</v>
      </c>
      <c r="Y25" s="1" t="s">
        <v>261</v>
      </c>
      <c r="Z25" s="1" t="s">
        <v>261</v>
      </c>
      <c r="AA25" s="20" t="s">
        <v>265</v>
      </c>
      <c r="AC25" s="28"/>
      <c r="AD25" s="1" t="s">
        <v>255</v>
      </c>
      <c r="AE25" s="1" t="s">
        <v>266</v>
      </c>
      <c r="AF25" s="1" t="s">
        <v>256</v>
      </c>
      <c r="AG25" s="1" t="s">
        <v>257</v>
      </c>
      <c r="AH25" s="29" t="s">
        <v>258</v>
      </c>
      <c r="AJ25" s="21"/>
      <c r="AK25" s="8"/>
      <c r="AL25" s="8"/>
      <c r="AM25" s="8"/>
      <c r="AN25" s="20"/>
    </row>
    <row r="26" spans="1:40" x14ac:dyDescent="0.2">
      <c r="L26" s="28"/>
      <c r="M26" s="8">
        <v>23.103999999999999</v>
      </c>
      <c r="N26" s="8"/>
      <c r="O26" s="20"/>
      <c r="Q26" s="28" t="s">
        <v>254</v>
      </c>
      <c r="R26" s="1" t="s">
        <v>261</v>
      </c>
      <c r="S26" s="1">
        <v>0.87239999999999995</v>
      </c>
      <c r="T26" s="1" t="s">
        <v>261</v>
      </c>
      <c r="U26" s="29" t="s">
        <v>261</v>
      </c>
      <c r="W26" s="28" t="s">
        <v>259</v>
      </c>
      <c r="Y26" s="38" t="s">
        <v>261</v>
      </c>
      <c r="Z26" s="38" t="s">
        <v>261</v>
      </c>
      <c r="AA26" s="29" t="s">
        <v>260</v>
      </c>
      <c r="AC26" s="28" t="s">
        <v>254</v>
      </c>
      <c r="AD26" s="1" t="s">
        <v>261</v>
      </c>
      <c r="AE26" s="1">
        <v>0.9889</v>
      </c>
      <c r="AF26" s="1" t="s">
        <v>261</v>
      </c>
      <c r="AG26" s="1" t="s">
        <v>261</v>
      </c>
      <c r="AH26" s="29" t="s">
        <v>261</v>
      </c>
      <c r="AJ26" s="28"/>
      <c r="AK26" s="1" t="s">
        <v>255</v>
      </c>
      <c r="AL26" s="1" t="s">
        <v>256</v>
      </c>
      <c r="AM26" s="1" t="s">
        <v>257</v>
      </c>
      <c r="AN26" s="29" t="s">
        <v>258</v>
      </c>
    </row>
    <row r="27" spans="1:40" x14ac:dyDescent="0.2">
      <c r="L27" s="28"/>
      <c r="M27" s="8"/>
      <c r="N27" s="8"/>
      <c r="O27" s="20"/>
      <c r="Q27" s="28" t="s">
        <v>259</v>
      </c>
      <c r="S27" s="1">
        <v>0.45300000000000001</v>
      </c>
      <c r="T27" s="1" t="s">
        <v>261</v>
      </c>
      <c r="U27" s="37" t="s">
        <v>261</v>
      </c>
      <c r="W27" s="39"/>
      <c r="X27" s="40"/>
      <c r="Y27" s="40"/>
      <c r="Z27" s="40"/>
      <c r="AA27" s="23"/>
      <c r="AC27" s="30" t="s">
        <v>259</v>
      </c>
      <c r="AD27" s="31"/>
      <c r="AE27" s="31">
        <v>0.6331</v>
      </c>
      <c r="AF27" s="31" t="s">
        <v>261</v>
      </c>
      <c r="AG27" s="31" t="s">
        <v>261</v>
      </c>
      <c r="AH27" s="32" t="s">
        <v>261</v>
      </c>
      <c r="AJ27" s="28" t="s">
        <v>254</v>
      </c>
      <c r="AK27" s="1" t="s">
        <v>261</v>
      </c>
      <c r="AL27" s="1" t="s">
        <v>261</v>
      </c>
      <c r="AM27" s="1" t="s">
        <v>261</v>
      </c>
      <c r="AN27" s="37" t="s">
        <v>261</v>
      </c>
    </row>
    <row r="28" spans="1:40" x14ac:dyDescent="0.2">
      <c r="L28" s="21" t="s">
        <v>9</v>
      </c>
      <c r="M28" s="8">
        <v>17.579999999999998</v>
      </c>
      <c r="N28" s="8">
        <v>7.3330000000000002</v>
      </c>
      <c r="O28" s="20">
        <v>16.04</v>
      </c>
      <c r="Q28" s="28"/>
      <c r="U28" s="29"/>
      <c r="AA28" s="8"/>
      <c r="AJ28" s="28" t="s">
        <v>259</v>
      </c>
      <c r="AL28" s="38" t="s">
        <v>261</v>
      </c>
      <c r="AM28" s="38" t="s">
        <v>261</v>
      </c>
      <c r="AN28" s="37" t="s">
        <v>261</v>
      </c>
    </row>
    <row r="29" spans="1:40" ht="23" x14ac:dyDescent="0.25">
      <c r="A29" s="14" t="s">
        <v>495</v>
      </c>
      <c r="B29" s="14"/>
      <c r="C29" s="14"/>
      <c r="D29" s="14"/>
      <c r="L29" s="21" t="s">
        <v>10</v>
      </c>
      <c r="M29" s="8">
        <v>5.5720000000000001</v>
      </c>
      <c r="N29" s="8">
        <v>2.5510000000000002</v>
      </c>
      <c r="O29" s="20">
        <v>5.7949999999999999</v>
      </c>
      <c r="Q29" s="30"/>
      <c r="R29" s="31"/>
      <c r="S29" s="31"/>
      <c r="T29" s="31"/>
      <c r="U29" s="32"/>
      <c r="AA29" s="8"/>
      <c r="AJ29" s="28"/>
      <c r="AN29" s="29"/>
    </row>
    <row r="30" spans="1:40" ht="23" x14ac:dyDescent="0.25">
      <c r="A30" s="14" t="s">
        <v>496</v>
      </c>
      <c r="B30" s="14"/>
      <c r="C30" s="14"/>
      <c r="D30" s="14"/>
      <c r="L30" s="21" t="s">
        <v>11</v>
      </c>
      <c r="M30" s="8">
        <v>1.216</v>
      </c>
      <c r="N30" s="8">
        <v>0.80659999999999998</v>
      </c>
      <c r="O30" s="20">
        <v>2.0489999999999999</v>
      </c>
      <c r="AJ30" s="30"/>
      <c r="AK30" s="31"/>
      <c r="AL30" s="31"/>
      <c r="AM30" s="31"/>
      <c r="AN30" s="32"/>
    </row>
    <row r="31" spans="1:40" ht="23" x14ac:dyDescent="0.25">
      <c r="A31" s="14"/>
      <c r="B31" s="14"/>
      <c r="C31" s="14"/>
      <c r="D31" s="14"/>
      <c r="L31" s="21"/>
      <c r="M31" s="8"/>
      <c r="N31" s="8"/>
      <c r="O31" s="20"/>
    </row>
    <row r="32" spans="1:40" x14ac:dyDescent="0.2">
      <c r="L32" s="28"/>
      <c r="M32" s="1" t="s">
        <v>255</v>
      </c>
      <c r="N32" s="1" t="s">
        <v>256</v>
      </c>
      <c r="O32" s="29" t="s">
        <v>257</v>
      </c>
    </row>
    <row r="33" spans="12:15" x14ac:dyDescent="0.2">
      <c r="L33" s="28" t="s">
        <v>254</v>
      </c>
      <c r="M33" s="1" t="s">
        <v>261</v>
      </c>
      <c r="N33" s="1" t="s">
        <v>261</v>
      </c>
      <c r="O33" s="20" t="s">
        <v>264</v>
      </c>
    </row>
    <row r="34" spans="12:15" x14ac:dyDescent="0.2">
      <c r="L34" s="28" t="s">
        <v>259</v>
      </c>
      <c r="N34" s="1" t="s">
        <v>261</v>
      </c>
      <c r="O34" s="29" t="s">
        <v>265</v>
      </c>
    </row>
    <row r="35" spans="12:15" x14ac:dyDescent="0.2">
      <c r="L35" s="28"/>
      <c r="O35" s="29"/>
    </row>
    <row r="36" spans="12:15" x14ac:dyDescent="0.2">
      <c r="L36" s="30"/>
      <c r="M36" s="31"/>
      <c r="N36" s="31"/>
      <c r="O36" s="32"/>
    </row>
    <row r="67" spans="31:41" x14ac:dyDescent="0.2">
      <c r="AE67" s="8"/>
      <c r="AF67" s="8"/>
      <c r="AG67" s="8"/>
      <c r="AH67" s="8"/>
      <c r="AI67" s="8"/>
      <c r="AJ67" s="8"/>
      <c r="AK67" s="8"/>
    </row>
    <row r="68" spans="31:41" x14ac:dyDescent="0.2">
      <c r="AF68" s="34"/>
      <c r="AG68" s="8"/>
      <c r="AH68" s="8"/>
      <c r="AI68" s="8"/>
      <c r="AJ68" s="8"/>
      <c r="AK68" s="8"/>
      <c r="AL68" s="8"/>
      <c r="AM68" s="8"/>
    </row>
    <row r="69" spans="31:41" x14ac:dyDescent="0.2">
      <c r="AF69" s="34"/>
      <c r="AG69" s="8"/>
      <c r="AH69" s="8"/>
      <c r="AI69" s="8"/>
      <c r="AJ69" s="8"/>
      <c r="AK69" s="8"/>
      <c r="AL69" s="8"/>
      <c r="AM69" s="8"/>
    </row>
    <row r="70" spans="31:41" x14ac:dyDescent="0.2">
      <c r="AF70" s="34"/>
      <c r="AG70" s="8"/>
      <c r="AH70" s="8"/>
      <c r="AI70" s="8"/>
      <c r="AJ70" s="8"/>
      <c r="AK70" s="8"/>
      <c r="AL70" s="8"/>
      <c r="AM70" s="8"/>
    </row>
    <row r="71" spans="31:41" x14ac:dyDescent="0.2">
      <c r="AH71" s="34"/>
      <c r="AI71" s="8"/>
      <c r="AJ71" s="8"/>
      <c r="AK71" s="8"/>
      <c r="AL71" s="8"/>
      <c r="AM71" s="8"/>
      <c r="AN71" s="8"/>
      <c r="AO71" s="8"/>
    </row>
    <row r="72" spans="31:41" x14ac:dyDescent="0.2">
      <c r="AL72" s="8"/>
      <c r="AM72" s="8"/>
      <c r="AN72" s="8"/>
      <c r="AO7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33E0-823D-C242-B352-6FD0D0DC1B4D}">
  <dimension ref="A1:V81"/>
  <sheetViews>
    <sheetView topLeftCell="A62" workbookViewId="0">
      <selection activeCell="G32" sqref="G32"/>
    </sheetView>
  </sheetViews>
  <sheetFormatPr baseColWidth="10" defaultRowHeight="16" x14ac:dyDescent="0.2"/>
  <sheetData>
    <row r="1" spans="1:21" ht="22" x14ac:dyDescent="0.3">
      <c r="D1" s="44" t="s">
        <v>292</v>
      </c>
      <c r="P1" t="s">
        <v>293</v>
      </c>
    </row>
    <row r="2" spans="1:21" x14ac:dyDescent="0.2">
      <c r="A2" t="s">
        <v>172</v>
      </c>
      <c r="B2" t="s">
        <v>173</v>
      </c>
      <c r="C2" t="s">
        <v>174</v>
      </c>
      <c r="E2" t="s">
        <v>175</v>
      </c>
      <c r="F2" t="s">
        <v>177</v>
      </c>
      <c r="G2" t="s">
        <v>178</v>
      </c>
      <c r="H2" t="s">
        <v>179</v>
      </c>
      <c r="I2" t="s">
        <v>180</v>
      </c>
      <c r="J2" t="s">
        <v>181</v>
      </c>
      <c r="K2" t="s">
        <v>182</v>
      </c>
      <c r="P2" t="s">
        <v>294</v>
      </c>
    </row>
    <row r="3" spans="1:21" x14ac:dyDescent="0.2">
      <c r="A3">
        <v>20231212</v>
      </c>
      <c r="B3">
        <v>1263752</v>
      </c>
      <c r="C3" t="s">
        <v>183</v>
      </c>
      <c r="D3" t="s">
        <v>184</v>
      </c>
      <c r="E3" s="45">
        <f>AVERAGE(7.44,7.44)</f>
        <v>7.44</v>
      </c>
      <c r="F3">
        <f>AVERAGE(10.159,8.368)</f>
        <v>9.2635000000000005</v>
      </c>
      <c r="G3">
        <f>AVERAGE(11.625,12.541)</f>
        <v>12.083</v>
      </c>
      <c r="H3">
        <f>AVERAGE(12.541,12.541)</f>
        <v>12.541</v>
      </c>
      <c r="J3">
        <f>AVERAGE(14.137,13.287)</f>
        <v>13.712</v>
      </c>
      <c r="K3">
        <f>AVERAGE(12.541,8.127)</f>
        <v>10.334</v>
      </c>
      <c r="S3" t="s">
        <v>178</v>
      </c>
      <c r="T3" t="s">
        <v>181</v>
      </c>
      <c r="U3" t="s">
        <v>295</v>
      </c>
    </row>
    <row r="4" spans="1:21" x14ac:dyDescent="0.2">
      <c r="A4">
        <v>20231212</v>
      </c>
      <c r="B4">
        <v>1263752</v>
      </c>
      <c r="C4" t="s">
        <v>185</v>
      </c>
      <c r="D4" t="s">
        <v>186</v>
      </c>
      <c r="E4" s="45">
        <f>AVERAGE(8.368,8.368)</f>
        <v>8.3680000000000003</v>
      </c>
      <c r="F4">
        <f>AVERAGE(9.454,21.521)</f>
        <v>15.487500000000001</v>
      </c>
      <c r="G4">
        <f>AVERAGE(12.541,12.541)</f>
        <v>12.541</v>
      </c>
      <c r="H4">
        <f>AVERAGE(12.541,17.585)</f>
        <v>15.063000000000001</v>
      </c>
      <c r="J4">
        <f>AVERAGE(12.541,16.835)</f>
        <v>14.688000000000001</v>
      </c>
      <c r="K4">
        <f>AVERAGE(10.471,13.102)</f>
        <v>11.7865</v>
      </c>
      <c r="P4">
        <v>20240318</v>
      </c>
      <c r="Q4">
        <v>1302856</v>
      </c>
      <c r="R4" t="s">
        <v>296</v>
      </c>
      <c r="S4">
        <f>AVERAGE(18.799)</f>
        <v>18.798999999999999</v>
      </c>
      <c r="T4">
        <f>AVERAGE(21.059,13.251)</f>
        <v>17.155000000000001</v>
      </c>
      <c r="U4">
        <f>AVERAGE(22.086,25.168)</f>
        <v>23.626999999999999</v>
      </c>
    </row>
    <row r="5" spans="1:21" x14ac:dyDescent="0.2">
      <c r="A5">
        <v>20231213</v>
      </c>
      <c r="B5">
        <v>1263755</v>
      </c>
      <c r="C5" t="s">
        <v>187</v>
      </c>
      <c r="D5" t="s">
        <v>184</v>
      </c>
      <c r="E5">
        <f>AVERAGE(21.521,19.344)</f>
        <v>20.432500000000001</v>
      </c>
      <c r="F5">
        <f>AVERAGE(12.541,16.835)</f>
        <v>14.688000000000001</v>
      </c>
      <c r="G5">
        <f>AVERAGE(11.625,12.541)</f>
        <v>12.083</v>
      </c>
      <c r="H5">
        <f>AVERAGE(15.239,12.541)</f>
        <v>13.89</v>
      </c>
      <c r="J5">
        <f>AVERAGE(12.541,12.541)</f>
        <v>12.541</v>
      </c>
      <c r="K5">
        <f>AVERAGE(17.585,14.137)</f>
        <v>15.861000000000001</v>
      </c>
      <c r="P5">
        <v>20240318</v>
      </c>
      <c r="Q5">
        <v>1302856</v>
      </c>
      <c r="R5" t="s">
        <v>297</v>
      </c>
      <c r="S5">
        <f>AVERAGE(26.175,26.175)</f>
        <v>26.175000000000001</v>
      </c>
      <c r="T5">
        <f>AVERAGE(13.251,26.175)</f>
        <v>19.713000000000001</v>
      </c>
      <c r="U5">
        <f>AVERAGE(26.175,18.799)</f>
        <v>22.487000000000002</v>
      </c>
    </row>
    <row r="6" spans="1:21" x14ac:dyDescent="0.2">
      <c r="A6">
        <v>20231213</v>
      </c>
      <c r="B6">
        <v>1263755</v>
      </c>
      <c r="C6" t="s">
        <v>188</v>
      </c>
      <c r="D6" t="s">
        <v>186</v>
      </c>
      <c r="E6">
        <f>AVERAGE(18.996,9.801)</f>
        <v>14.398499999999999</v>
      </c>
      <c r="F6">
        <f>AVERAGE(21.521,17.585)</f>
        <v>19.553000000000001</v>
      </c>
      <c r="G6">
        <f>AVERAGE(10.795,15.239)</f>
        <v>13.016999999999999</v>
      </c>
      <c r="H6">
        <f>AVERAGE(21.521,21.521)</f>
        <v>21.521000000000001</v>
      </c>
      <c r="J6">
        <f>AVERAGE(14.137,14.137)</f>
        <v>14.137</v>
      </c>
      <c r="K6">
        <f>AVERAGE(21.521,16.835)</f>
        <v>19.178000000000001</v>
      </c>
      <c r="P6">
        <v>20231212</v>
      </c>
      <c r="Q6">
        <v>1263752</v>
      </c>
      <c r="R6" t="s">
        <v>249</v>
      </c>
      <c r="S6">
        <f>AVERAGE(11.207, 13.6455)</f>
        <v>12.42625</v>
      </c>
      <c r="T6">
        <f>AVERAGE(15.045,15.1551)</f>
        <v>15.10005</v>
      </c>
      <c r="U6">
        <f>AVERAGE(13.6455,7.5022)</f>
        <v>10.57385</v>
      </c>
    </row>
    <row r="7" spans="1:21" x14ac:dyDescent="0.2">
      <c r="A7">
        <v>20240814</v>
      </c>
      <c r="B7">
        <v>1374519</v>
      </c>
      <c r="C7" t="s">
        <v>189</v>
      </c>
      <c r="D7" t="s">
        <v>184</v>
      </c>
      <c r="E7">
        <f>AVERAGE(21.521,21.521)</f>
        <v>21.521000000000001</v>
      </c>
      <c r="F7">
        <f>AVERAGE(21.521,21.521)</f>
        <v>21.521000000000001</v>
      </c>
      <c r="G7">
        <f>AVERAGE(21.521,9.166)</f>
        <v>15.343500000000001</v>
      </c>
      <c r="H7">
        <f>AVERAGE(21.521,21.521)</f>
        <v>21.521000000000001</v>
      </c>
      <c r="I7">
        <f>AVERAGE(21.521,21.521)</f>
        <v>21.521000000000001</v>
      </c>
      <c r="P7" s="22">
        <v>20231212</v>
      </c>
      <c r="Q7" s="22">
        <v>1263752</v>
      </c>
      <c r="R7" s="22" t="s">
        <v>249</v>
      </c>
      <c r="S7" s="22">
        <f>AVERAGE(13.6455,13.6455)</f>
        <v>13.6455</v>
      </c>
      <c r="T7" s="22">
        <f>AVERAGE(12.6455,16.9424)</f>
        <v>14.793949999999999</v>
      </c>
      <c r="U7" s="22">
        <f>AVERAGE(9.3889,13.3696)</f>
        <v>11.379249999999999</v>
      </c>
    </row>
    <row r="8" spans="1:21" x14ac:dyDescent="0.2">
      <c r="A8">
        <v>20240814</v>
      </c>
      <c r="B8">
        <v>1374519</v>
      </c>
      <c r="C8" t="s">
        <v>190</v>
      </c>
      <c r="D8" t="s">
        <v>186</v>
      </c>
      <c r="E8">
        <f>AVERAGE(16.835,21.521)</f>
        <v>19.178000000000001</v>
      </c>
      <c r="F8">
        <f>AVERAGE(12.541,14.137)</f>
        <v>13.339</v>
      </c>
      <c r="G8" s="46">
        <f>AVERAGE(7.566,9.454)</f>
        <v>8.51</v>
      </c>
      <c r="H8">
        <f t="shared" ref="H8:I11" si="0">AVERAGE(21.521,21.521)</f>
        <v>21.521000000000001</v>
      </c>
      <c r="I8">
        <f>AVERAGE(10.168,18.996)</f>
        <v>14.581999999999999</v>
      </c>
      <c r="P8">
        <v>20231213</v>
      </c>
      <c r="Q8">
        <v>1263755</v>
      </c>
      <c r="R8" t="s">
        <v>249</v>
      </c>
      <c r="S8">
        <f>AVERAGE(11.207, 13.6455)</f>
        <v>12.42625</v>
      </c>
      <c r="T8">
        <f>AVERAGE(13.6455,13.6455)</f>
        <v>13.6455</v>
      </c>
      <c r="U8">
        <f>AVERAGE(22.9181,15.0284)</f>
        <v>18.97325</v>
      </c>
    </row>
    <row r="9" spans="1:21" x14ac:dyDescent="0.2">
      <c r="A9">
        <v>20240814</v>
      </c>
      <c r="B9">
        <v>1374520</v>
      </c>
      <c r="C9" t="s">
        <v>191</v>
      </c>
      <c r="D9" t="s">
        <v>184</v>
      </c>
      <c r="E9">
        <f t="shared" ref="E9:G10" si="1">AVERAGE(21.521,21.521)</f>
        <v>21.521000000000001</v>
      </c>
      <c r="F9">
        <f t="shared" si="1"/>
        <v>21.521000000000001</v>
      </c>
      <c r="G9">
        <f t="shared" si="1"/>
        <v>21.521000000000001</v>
      </c>
      <c r="H9">
        <f t="shared" si="0"/>
        <v>21.521000000000001</v>
      </c>
      <c r="I9">
        <f t="shared" si="0"/>
        <v>21.521000000000001</v>
      </c>
      <c r="P9" s="22">
        <v>20231213</v>
      </c>
      <c r="Q9" s="22">
        <v>1263755</v>
      </c>
      <c r="R9" s="22" t="s">
        <v>249</v>
      </c>
      <c r="S9" s="22">
        <f>AVERAGE(10.2042,22.9181)</f>
        <v>16.561149999999998</v>
      </c>
      <c r="T9" s="22">
        <f>AVERAGE(15.045,11.9284)</f>
        <v>13.486699999999999</v>
      </c>
      <c r="U9" s="22">
        <f>AVERAGE(26.7843,16.9424)</f>
        <v>21.863350000000001</v>
      </c>
    </row>
    <row r="10" spans="1:21" x14ac:dyDescent="0.2">
      <c r="A10">
        <v>20240814</v>
      </c>
      <c r="B10">
        <v>1374520</v>
      </c>
      <c r="C10" t="s">
        <v>192</v>
      </c>
      <c r="D10" t="s">
        <v>186</v>
      </c>
      <c r="E10">
        <f t="shared" si="1"/>
        <v>21.521000000000001</v>
      </c>
      <c r="F10">
        <f t="shared" si="1"/>
        <v>21.521000000000001</v>
      </c>
      <c r="G10">
        <f t="shared" si="1"/>
        <v>21.521000000000001</v>
      </c>
      <c r="H10">
        <f t="shared" si="0"/>
        <v>21.521000000000001</v>
      </c>
      <c r="I10">
        <f t="shared" si="0"/>
        <v>21.521000000000001</v>
      </c>
      <c r="P10">
        <v>20240613</v>
      </c>
      <c r="Q10">
        <v>1315228</v>
      </c>
      <c r="R10" t="s">
        <v>298</v>
      </c>
      <c r="S10">
        <f>AVERAGE(22.04,26.175)</f>
        <v>24.107500000000002</v>
      </c>
    </row>
    <row r="11" spans="1:21" x14ac:dyDescent="0.2">
      <c r="A11">
        <v>20240814</v>
      </c>
      <c r="B11">
        <v>1374521</v>
      </c>
      <c r="C11" t="s">
        <v>193</v>
      </c>
      <c r="D11" t="s">
        <v>184</v>
      </c>
      <c r="E11">
        <f>AVERAGE(21.521,21.521)</f>
        <v>21.521000000000001</v>
      </c>
      <c r="F11">
        <f>AVERAGE(21.521,21.521)</f>
        <v>21.521000000000001</v>
      </c>
      <c r="G11">
        <f>AVERAGE(13.287,7.44)</f>
        <v>10.3635</v>
      </c>
      <c r="H11">
        <f t="shared" si="0"/>
        <v>21.521000000000001</v>
      </c>
      <c r="I11">
        <f>AVERAGE(8.368,12.541)</f>
        <v>10.454499999999999</v>
      </c>
      <c r="P11">
        <v>20240613</v>
      </c>
      <c r="Q11">
        <v>1315228</v>
      </c>
      <c r="R11" t="s">
        <v>299</v>
      </c>
      <c r="S11">
        <f>AVERAGE(14.937,10.512)</f>
        <v>12.724499999999999</v>
      </c>
    </row>
    <row r="12" spans="1:21" x14ac:dyDescent="0.2">
      <c r="A12">
        <v>20240814</v>
      </c>
      <c r="B12">
        <v>1374521</v>
      </c>
      <c r="C12" t="s">
        <v>194</v>
      </c>
      <c r="D12" t="s">
        <v>186</v>
      </c>
      <c r="E12">
        <f>AVERAGE(21.521,21.521)</f>
        <v>21.521000000000001</v>
      </c>
      <c r="F12">
        <f>AVERAGE(21.521,21.521)</f>
        <v>21.521000000000001</v>
      </c>
      <c r="G12">
        <f>AVERAGE(16.835,16.835)</f>
        <v>16.835000000000001</v>
      </c>
      <c r="H12">
        <f>AVERAGE(21.521,13.102)</f>
        <v>17.311500000000002</v>
      </c>
      <c r="I12">
        <f>AVERAGE(16.835,16.835)</f>
        <v>16.835000000000001</v>
      </c>
      <c r="P12">
        <v>20240613</v>
      </c>
      <c r="Q12">
        <v>1344929</v>
      </c>
      <c r="R12" t="s">
        <v>300</v>
      </c>
      <c r="S12">
        <f>AVERAGE(27.948,29.582)</f>
        <v>28.765000000000001</v>
      </c>
    </row>
    <row r="13" spans="1:21" x14ac:dyDescent="0.2">
      <c r="A13">
        <v>20241101</v>
      </c>
      <c r="B13">
        <v>1408753</v>
      </c>
      <c r="C13" t="s">
        <v>195</v>
      </c>
      <c r="D13" t="s">
        <v>184</v>
      </c>
      <c r="H13">
        <f>AVERAGE(21.521,17.585)</f>
        <v>19.553000000000001</v>
      </c>
      <c r="I13">
        <f>AVERAGE(21.521,21.521)</f>
        <v>21.521000000000001</v>
      </c>
      <c r="J13">
        <f>AVERAGE(21.521,21.521)</f>
        <v>21.521000000000001</v>
      </c>
      <c r="K13">
        <f>AVERAGE(21.521,18.581)</f>
        <v>20.051000000000002</v>
      </c>
      <c r="P13">
        <v>20240613</v>
      </c>
      <c r="Q13">
        <v>1344929</v>
      </c>
      <c r="R13" t="s">
        <v>301</v>
      </c>
      <c r="S13">
        <f>AVERAGE(26.175,14.937)</f>
        <v>20.556000000000001</v>
      </c>
    </row>
    <row r="14" spans="1:21" x14ac:dyDescent="0.2">
      <c r="A14">
        <v>20241101</v>
      </c>
      <c r="B14">
        <v>1408753</v>
      </c>
      <c r="C14" t="s">
        <v>196</v>
      </c>
      <c r="D14" t="s">
        <v>186</v>
      </c>
      <c r="H14">
        <f>AVERAGE(21.521,13.102)</f>
        <v>17.311500000000002</v>
      </c>
      <c r="I14">
        <f>AVERAGE(21.521,21.521)</f>
        <v>21.521000000000001</v>
      </c>
      <c r="J14">
        <f>AVERAGE(13.287,21.521)</f>
        <v>17.404</v>
      </c>
      <c r="K14">
        <f>AVERAGE(21.521,18.996)</f>
        <v>20.258499999999998</v>
      </c>
      <c r="P14">
        <v>20240613</v>
      </c>
      <c r="Q14">
        <v>1344930</v>
      </c>
      <c r="R14" t="s">
        <v>302</v>
      </c>
      <c r="S14">
        <f>AVERAGE(26.175,23.104)</f>
        <v>24.639499999999998</v>
      </c>
    </row>
    <row r="15" spans="1:21" x14ac:dyDescent="0.2">
      <c r="A15">
        <v>20241101</v>
      </c>
      <c r="B15">
        <v>1408755</v>
      </c>
      <c r="C15" t="s">
        <v>197</v>
      </c>
      <c r="D15" t="s">
        <v>184</v>
      </c>
      <c r="H15">
        <f>AVERAGE(21.521,15.253)</f>
        <v>18.387</v>
      </c>
      <c r="I15">
        <f>AVERAGE(21.521,17.585)</f>
        <v>19.553000000000001</v>
      </c>
      <c r="J15">
        <f>AVERAGE(21.521,18.996)</f>
        <v>20.258499999999998</v>
      </c>
      <c r="K15">
        <f>AVERAGE(21.521,12.541)</f>
        <v>17.030999999999999</v>
      </c>
      <c r="P15">
        <v>20240613</v>
      </c>
      <c r="Q15">
        <v>1344930</v>
      </c>
      <c r="R15" t="s">
        <v>303</v>
      </c>
      <c r="S15">
        <f>AVERAGE(23.104,23.104)</f>
        <v>23.103999999999999</v>
      </c>
    </row>
    <row r="16" spans="1:21" x14ac:dyDescent="0.2">
      <c r="A16">
        <v>20241101</v>
      </c>
      <c r="B16">
        <v>1408755</v>
      </c>
      <c r="C16" t="s">
        <v>198</v>
      </c>
      <c r="D16" t="s">
        <v>186</v>
      </c>
      <c r="H16">
        <f>AVERAGE(21.521,17.585)</f>
        <v>19.553000000000001</v>
      </c>
      <c r="I16">
        <f>AVERAGE(16.835,14.137)</f>
        <v>15.486000000000001</v>
      </c>
      <c r="J16">
        <f>AVERAGE(18.996,14.137)</f>
        <v>16.566499999999998</v>
      </c>
      <c r="K16">
        <f>AVERAGE(8.368,8.368)</f>
        <v>8.3680000000000003</v>
      </c>
    </row>
    <row r="17" spans="1:22" x14ac:dyDescent="0.2">
      <c r="A17">
        <v>20250616</v>
      </c>
      <c r="B17">
        <v>1489093</v>
      </c>
      <c r="C17" t="s">
        <v>199</v>
      </c>
      <c r="D17" t="s">
        <v>184</v>
      </c>
      <c r="E17" s="46">
        <f>AVERAGE(13.102,18.996)</f>
        <v>16.048999999999999</v>
      </c>
      <c r="H17" s="46">
        <f>AVERAGE(10.471,16.8356)</f>
        <v>13.6533</v>
      </c>
      <c r="I17" s="24">
        <f>AVERAGE(18.159,18.159)</f>
        <v>18.158999999999999</v>
      </c>
      <c r="J17">
        <f>AVERAGE(21.521,21.521)</f>
        <v>21.521000000000001</v>
      </c>
      <c r="K17" s="45">
        <f>AVERAGE(13.906,14.137)</f>
        <v>14.0215</v>
      </c>
    </row>
    <row r="18" spans="1:22" x14ac:dyDescent="0.2">
      <c r="A18">
        <v>20250616</v>
      </c>
      <c r="B18">
        <v>1489093</v>
      </c>
      <c r="C18" t="s">
        <v>200</v>
      </c>
      <c r="D18" t="s">
        <v>186</v>
      </c>
      <c r="E18" s="46">
        <f>AVERAGE(7.566,18.996)</f>
        <v>13.280999999999999</v>
      </c>
      <c r="H18" s="46">
        <f>AVERAGE(13.906,5.762)</f>
        <v>9.8339999999999996</v>
      </c>
      <c r="I18" s="24">
        <f>AVERAGE(18.996,21.521)</f>
        <v>20.258499999999998</v>
      </c>
      <c r="J18">
        <f>AVERAGE(21.521,21.521)</f>
        <v>21.521000000000001</v>
      </c>
      <c r="K18" s="45">
        <f>AVERAGE(16.478,11.774)</f>
        <v>14.126000000000001</v>
      </c>
    </row>
    <row r="21" spans="1:22" x14ac:dyDescent="0.2">
      <c r="P21" t="s">
        <v>304</v>
      </c>
    </row>
    <row r="22" spans="1:22" x14ac:dyDescent="0.2">
      <c r="S22" t="s">
        <v>305</v>
      </c>
      <c r="T22" t="s">
        <v>306</v>
      </c>
      <c r="U22" t="s">
        <v>307</v>
      </c>
      <c r="V22" t="s">
        <v>308</v>
      </c>
    </row>
    <row r="23" spans="1:22" x14ac:dyDescent="0.2">
      <c r="A23" t="s">
        <v>172</v>
      </c>
      <c r="B23" t="s">
        <v>173</v>
      </c>
      <c r="C23" t="s">
        <v>174</v>
      </c>
      <c r="E23" t="s">
        <v>175</v>
      </c>
      <c r="F23" t="s">
        <v>177</v>
      </c>
      <c r="G23" t="s">
        <v>178</v>
      </c>
      <c r="H23" t="s">
        <v>179</v>
      </c>
      <c r="I23" t="s">
        <v>180</v>
      </c>
      <c r="J23" t="s">
        <v>181</v>
      </c>
      <c r="K23" t="s">
        <v>182</v>
      </c>
      <c r="P23">
        <v>20240318</v>
      </c>
      <c r="Q23">
        <v>1302857</v>
      </c>
      <c r="R23" t="s">
        <v>309</v>
      </c>
      <c r="S23">
        <f>AVERAGE(13.906,21.521)</f>
        <v>17.7135</v>
      </c>
      <c r="T23">
        <f>AVERAGE(21.521,12.541)</f>
        <v>17.030999999999999</v>
      </c>
      <c r="U23">
        <f t="shared" ref="U23:U26" si="2">AVERAGE(S23:T23)</f>
        <v>17.372250000000001</v>
      </c>
      <c r="V23" s="47" t="s">
        <v>310</v>
      </c>
    </row>
    <row r="24" spans="1:22" x14ac:dyDescent="0.2">
      <c r="A24">
        <v>20231212</v>
      </c>
      <c r="B24">
        <v>1263754</v>
      </c>
      <c r="C24" t="s">
        <v>201</v>
      </c>
      <c r="D24" t="s">
        <v>184</v>
      </c>
      <c r="E24">
        <f>AVERAGE(21.521,8.368)</f>
        <v>14.944500000000001</v>
      </c>
      <c r="F24">
        <f>AVERAGE(8.368,5.64)</f>
        <v>7.0039999999999996</v>
      </c>
      <c r="G24">
        <f>AVERAGE(5.64,4.931)</f>
        <v>5.2854999999999999</v>
      </c>
      <c r="H24">
        <f>AVERAGE(3.077,1.704)</f>
        <v>2.3904999999999998</v>
      </c>
      <c r="J24">
        <f>AVERAGE(6.567,3.077)</f>
        <v>4.8220000000000001</v>
      </c>
      <c r="K24">
        <f>AVERAGE(4.665,2.347)</f>
        <v>3.5060000000000002</v>
      </c>
      <c r="P24">
        <v>20240318</v>
      </c>
      <c r="Q24">
        <v>1302857</v>
      </c>
      <c r="R24" t="s">
        <v>311</v>
      </c>
      <c r="S24">
        <f>AVERAGE(21.521,21.521)</f>
        <v>21.521000000000001</v>
      </c>
      <c r="T24">
        <f>AVERAGE(12.541,12.541)</f>
        <v>12.541</v>
      </c>
      <c r="U24">
        <f t="shared" si="2"/>
        <v>17.030999999999999</v>
      </c>
      <c r="V24" s="47" t="s">
        <v>310</v>
      </c>
    </row>
    <row r="25" spans="1:22" x14ac:dyDescent="0.2">
      <c r="A25">
        <v>20231212</v>
      </c>
      <c r="B25">
        <v>1263754</v>
      </c>
      <c r="C25" t="s">
        <v>202</v>
      </c>
      <c r="D25" t="s">
        <v>186</v>
      </c>
      <c r="E25" s="45">
        <f>AVERAGE(9.454,9.454)</f>
        <v>9.4540000000000006</v>
      </c>
      <c r="F25">
        <f>AVERAGE(6.89,6.567)</f>
        <v>6.7285000000000004</v>
      </c>
      <c r="G25">
        <f>AVERAGE(4.085,6.567)</f>
        <v>5.3260000000000005</v>
      </c>
      <c r="H25">
        <f>AVERAGE(2.586,3.946)</f>
        <v>3.266</v>
      </c>
      <c r="J25">
        <f>AVERAGE(1.372,1.856)</f>
        <v>1.6140000000000001</v>
      </c>
      <c r="K25">
        <f>AVERAGE(2.586,3.645)</f>
        <v>3.1154999999999999</v>
      </c>
      <c r="P25">
        <v>20240325</v>
      </c>
      <c r="Q25">
        <v>1302859</v>
      </c>
      <c r="R25" t="s">
        <v>312</v>
      </c>
      <c r="S25">
        <f>AVERAGE(13.721,8.731)</f>
        <v>11.225999999999999</v>
      </c>
      <c r="T25">
        <f>AVERAGE(9.801,21.521)</f>
        <v>15.661000000000001</v>
      </c>
      <c r="U25">
        <f t="shared" si="2"/>
        <v>13.4435</v>
      </c>
      <c r="V25" s="47" t="s">
        <v>313</v>
      </c>
    </row>
    <row r="26" spans="1:22" x14ac:dyDescent="0.2">
      <c r="A26">
        <v>20231213</v>
      </c>
      <c r="B26">
        <v>1263751</v>
      </c>
      <c r="C26" t="s">
        <v>203</v>
      </c>
      <c r="D26" t="s">
        <v>184</v>
      </c>
      <c r="E26">
        <f>AVERAGE(21.521,21.521)</f>
        <v>21.521000000000001</v>
      </c>
      <c r="F26">
        <f>AVERAGE(8.368,10.742)</f>
        <v>9.5549999999999997</v>
      </c>
      <c r="G26">
        <f>AVERAGE(12.541,12.541)</f>
        <v>12.541</v>
      </c>
      <c r="H26">
        <f>AVERAGE(3.077,4.389)</f>
        <v>3.7330000000000001</v>
      </c>
      <c r="J26">
        <f>AVERAGE(4.665,4.665)</f>
        <v>4.665</v>
      </c>
      <c r="K26">
        <f>AVERAGE(4.665,4.665,)</f>
        <v>3.11</v>
      </c>
      <c r="P26">
        <v>20240325</v>
      </c>
      <c r="Q26">
        <v>1302859</v>
      </c>
      <c r="R26" t="s">
        <v>314</v>
      </c>
      <c r="S26">
        <f>AVERAGE(21.521,13.102)</f>
        <v>17.311500000000002</v>
      </c>
      <c r="T26">
        <f>AVERAGE(14.137,13.102)</f>
        <v>13.6195</v>
      </c>
      <c r="U26">
        <f t="shared" si="2"/>
        <v>15.465500000000002</v>
      </c>
      <c r="V26" s="47" t="s">
        <v>313</v>
      </c>
    </row>
    <row r="27" spans="1:22" x14ac:dyDescent="0.2">
      <c r="A27">
        <v>20231213</v>
      </c>
      <c r="B27">
        <v>1263751</v>
      </c>
      <c r="C27" t="s">
        <v>204</v>
      </c>
      <c r="D27" t="s">
        <v>186</v>
      </c>
      <c r="E27" s="46">
        <f>AVERAGE(9.801,8.368)</f>
        <v>9.0845000000000002</v>
      </c>
      <c r="F27">
        <f>AVERAGE(7.084,6.567)</f>
        <v>6.8254999999999999</v>
      </c>
      <c r="G27">
        <f>AVERAGE(2.465,5.566)</f>
        <v>4.0154999999999994</v>
      </c>
      <c r="H27">
        <f>AVERAGE(3.077,4.389)</f>
        <v>3.7330000000000001</v>
      </c>
      <c r="J27">
        <f>AVERAGE(6.567,4.665)</f>
        <v>5.6159999999999997</v>
      </c>
      <c r="K27">
        <f>AVERAGE(4.665,4.665,)</f>
        <v>3.11</v>
      </c>
      <c r="P27">
        <v>20240528</v>
      </c>
      <c r="Q27">
        <v>1328424</v>
      </c>
      <c r="R27" t="s">
        <v>315</v>
      </c>
      <c r="S27">
        <f>AVERAGE(24.322,16.835)</f>
        <v>20.578499999999998</v>
      </c>
      <c r="V27" s="47" t="s">
        <v>316</v>
      </c>
    </row>
    <row r="28" spans="1:22" x14ac:dyDescent="0.2">
      <c r="A28">
        <v>20240813</v>
      </c>
      <c r="B28">
        <v>1374522</v>
      </c>
      <c r="C28" t="s">
        <v>205</v>
      </c>
      <c r="D28" t="s">
        <v>184</v>
      </c>
      <c r="E28">
        <f>AVERAGE(21.521,21.521)</f>
        <v>21.521000000000001</v>
      </c>
      <c r="F28">
        <f>AVERAGE(7.566,14.137)</f>
        <v>10.8515</v>
      </c>
      <c r="G28">
        <f>AVERAGE(9.293,8.368)</f>
        <v>8.8305000000000007</v>
      </c>
      <c r="H28">
        <f>AVERAGE(1.569,7.084)</f>
        <v>4.3264999999999993</v>
      </c>
      <c r="I28">
        <f>AVERAGE(6.567,5.5)</f>
        <v>6.0335000000000001</v>
      </c>
      <c r="J28">
        <f>AVERAGE(3.97,4.665)</f>
        <v>4.3174999999999999</v>
      </c>
      <c r="K28">
        <f>AVERAGE(3.67,6.57)</f>
        <v>5.12</v>
      </c>
      <c r="P28">
        <v>20240528</v>
      </c>
      <c r="Q28">
        <v>1328424</v>
      </c>
      <c r="R28" t="s">
        <v>317</v>
      </c>
      <c r="S28">
        <f>AVERAGE(21.521,16.835)</f>
        <v>19.178000000000001</v>
      </c>
      <c r="V28" s="47" t="s">
        <v>316</v>
      </c>
    </row>
    <row r="29" spans="1:22" x14ac:dyDescent="0.2">
      <c r="A29">
        <v>20240813</v>
      </c>
      <c r="B29">
        <v>1374522</v>
      </c>
      <c r="C29" t="s">
        <v>206</v>
      </c>
      <c r="D29" t="s">
        <v>186</v>
      </c>
      <c r="E29">
        <f>AVERAGE(21.521,21.521)</f>
        <v>21.521000000000001</v>
      </c>
      <c r="F29">
        <f>AVERAGE(7.566,7.141)</f>
        <v>7.3535000000000004</v>
      </c>
      <c r="G29">
        <f>AVERAGE(4.464,8.368)</f>
        <v>6.4160000000000004</v>
      </c>
      <c r="H29">
        <f>AVERAGE(4.665,6.84)</f>
        <v>5.7524999999999995</v>
      </c>
      <c r="I29">
        <f>AVERAGE(3.7,6.567)</f>
        <v>5.1334999999999997</v>
      </c>
      <c r="J29">
        <f>AVERAGE(14.137,6.567)</f>
        <v>10.352</v>
      </c>
      <c r="K29">
        <f>AVERAGE(7.566,4.665)</f>
        <v>6.1154999999999999</v>
      </c>
      <c r="P29">
        <v>20240529</v>
      </c>
      <c r="Q29">
        <v>1339315</v>
      </c>
      <c r="R29" t="s">
        <v>318</v>
      </c>
      <c r="S29">
        <f>AVERAGE(21.521,21.521)</f>
        <v>21.521000000000001</v>
      </c>
      <c r="T29">
        <f>AVERAGE(21.521,21.521)</f>
        <v>21.521000000000001</v>
      </c>
      <c r="U29">
        <f t="shared" ref="U29:U30" si="3">AVERAGE(S29:T29)</f>
        <v>21.521000000000001</v>
      </c>
      <c r="V29" s="47" t="s">
        <v>319</v>
      </c>
    </row>
    <row r="30" spans="1:22" x14ac:dyDescent="0.2">
      <c r="A30">
        <v>20240813</v>
      </c>
      <c r="B30">
        <v>1374523</v>
      </c>
      <c r="C30" t="s">
        <v>207</v>
      </c>
      <c r="D30" t="s">
        <v>184</v>
      </c>
      <c r="E30">
        <f>AVERAGE(21.521,21.521)</f>
        <v>21.521000000000001</v>
      </c>
      <c r="F30">
        <f>AVERAGE(12.542,9.801)</f>
        <v>11.1715</v>
      </c>
      <c r="G30">
        <f>AVERAGE(9.454,9.454)</f>
        <v>9.4540000000000006</v>
      </c>
      <c r="H30">
        <f>AVERAGE(5.64,4.324)</f>
        <v>4.9819999999999993</v>
      </c>
      <c r="I30">
        <f>AVERAGE(5.64,4.6665)</f>
        <v>5.1532499999999999</v>
      </c>
      <c r="J30">
        <f>AVERAGE(4.931,4.665)</f>
        <v>4.798</v>
      </c>
      <c r="K30">
        <f>AVERAGE(9.293,9.801)</f>
        <v>9.5470000000000006</v>
      </c>
      <c r="P30">
        <v>20240529</v>
      </c>
      <c r="Q30">
        <v>1339315</v>
      </c>
      <c r="R30" t="s">
        <v>320</v>
      </c>
      <c r="S30">
        <f>AVERAGE(16.835,21.521)</f>
        <v>19.178000000000001</v>
      </c>
      <c r="T30">
        <f>AVERAGE(21.521,21.521)</f>
        <v>21.521000000000001</v>
      </c>
      <c r="U30">
        <f t="shared" si="3"/>
        <v>20.349499999999999</v>
      </c>
      <c r="V30" s="47" t="s">
        <v>319</v>
      </c>
    </row>
    <row r="31" spans="1:22" x14ac:dyDescent="0.2">
      <c r="A31">
        <v>20240813</v>
      </c>
      <c r="B31">
        <v>1374523</v>
      </c>
      <c r="C31" t="s">
        <v>208</v>
      </c>
      <c r="D31" t="s">
        <v>186</v>
      </c>
      <c r="E31">
        <f>AVERAGE(21.521,7.44)</f>
        <v>14.480500000000001</v>
      </c>
      <c r="F31">
        <f>AVERAGE(21.521,7.842)</f>
        <v>14.6815</v>
      </c>
      <c r="G31">
        <f>AVERAGE(12.541,4.415)</f>
        <v>8.4779999999999998</v>
      </c>
      <c r="H31">
        <f>AVERAGE(3.76,6.567)</f>
        <v>5.1635</v>
      </c>
      <c r="I31">
        <f>AVERAGE(2.696,6.89)</f>
        <v>4.7930000000000001</v>
      </c>
      <c r="J31">
        <f>AVERAGE(5.382,4.711)</f>
        <v>5.0465</v>
      </c>
      <c r="K31">
        <f>AVERAGE(6.105,5.64)</f>
        <v>5.8725000000000005</v>
      </c>
      <c r="V31" s="47"/>
    </row>
    <row r="32" spans="1:22" x14ac:dyDescent="0.2">
      <c r="A32">
        <v>20240813</v>
      </c>
      <c r="B32">
        <v>1374524</v>
      </c>
      <c r="C32" t="s">
        <v>209</v>
      </c>
      <c r="D32" t="s">
        <v>184</v>
      </c>
      <c r="E32">
        <f>AVERAGE(21.521,21.521)</f>
        <v>21.521000000000001</v>
      </c>
      <c r="F32">
        <f>AVERAGE(6.567,6.625)</f>
        <v>6.5960000000000001</v>
      </c>
      <c r="G32">
        <f>AVERAGE(4.415,6.625)</f>
        <v>5.52</v>
      </c>
      <c r="H32">
        <f>AVERAGE(2.26,2.783)</f>
        <v>2.5214999999999996</v>
      </c>
      <c r="I32">
        <f>AVERAGE(4.665,2.26)</f>
        <v>3.4624999999999999</v>
      </c>
      <c r="J32">
        <f>AVERAGE(4.931,3.97)</f>
        <v>4.4504999999999999</v>
      </c>
      <c r="K32">
        <f>AVERAGE(3.97,4.665)</f>
        <v>4.3174999999999999</v>
      </c>
      <c r="V32" s="47"/>
    </row>
    <row r="33" spans="1:22" x14ac:dyDescent="0.2">
      <c r="A33">
        <v>20240813</v>
      </c>
      <c r="B33">
        <v>1374524</v>
      </c>
      <c r="C33" t="s">
        <v>210</v>
      </c>
      <c r="D33" t="s">
        <v>186</v>
      </c>
      <c r="E33">
        <f>AVERAGE(21.521,21.521)</f>
        <v>21.521000000000001</v>
      </c>
      <c r="F33">
        <f>AVERAGE(3.97,7.566)</f>
        <v>5.7679999999999998</v>
      </c>
      <c r="G33">
        <f>AVERAGE(6.567,8.368)</f>
        <v>7.4675000000000002</v>
      </c>
      <c r="H33">
        <f>AVERAGE(9.801,9.801)</f>
        <v>9.8010000000000002</v>
      </c>
      <c r="I33">
        <f>AVERAGE(7.566,6.625)</f>
        <v>7.0954999999999995</v>
      </c>
      <c r="J33">
        <f>AVERAGE(3.077,4.664)</f>
        <v>3.8704999999999998</v>
      </c>
      <c r="K33">
        <f>AVERAGE(5.55,6.89)</f>
        <v>6.22</v>
      </c>
      <c r="V33" s="47"/>
    </row>
    <row r="34" spans="1:22" x14ac:dyDescent="0.2">
      <c r="A34">
        <v>20241020</v>
      </c>
      <c r="B34">
        <v>1402488</v>
      </c>
      <c r="C34" t="s">
        <v>211</v>
      </c>
      <c r="D34" t="s">
        <v>184</v>
      </c>
      <c r="I34">
        <f>AVERAGE(5.561,2.855)</f>
        <v>4.2080000000000002</v>
      </c>
      <c r="J34">
        <f>AVERAGE(3.645,1.704)</f>
        <v>2.6745000000000001</v>
      </c>
      <c r="K34">
        <f>AVERAGE(3.7,5.375)</f>
        <v>4.5374999999999996</v>
      </c>
    </row>
    <row r="35" spans="1:22" x14ac:dyDescent="0.2">
      <c r="A35">
        <v>20241020</v>
      </c>
      <c r="B35">
        <v>1402488</v>
      </c>
      <c r="C35" t="s">
        <v>212</v>
      </c>
      <c r="D35" t="s">
        <v>186</v>
      </c>
      <c r="I35">
        <f>AVERAGE(8.363,3.001)</f>
        <v>5.6819999999999995</v>
      </c>
      <c r="J35">
        <f>AVERAGE(3.946,7.36)</f>
        <v>5.6530000000000005</v>
      </c>
      <c r="K35">
        <f>AVERAGE(1.775,4.415)</f>
        <v>3.0949999999999998</v>
      </c>
    </row>
    <row r="36" spans="1:22" x14ac:dyDescent="0.2">
      <c r="A36">
        <v>20241020</v>
      </c>
      <c r="B36">
        <v>1402492</v>
      </c>
      <c r="C36" t="s">
        <v>213</v>
      </c>
      <c r="D36" t="s">
        <v>184</v>
      </c>
      <c r="J36">
        <f>AVERAGE(5.762,6.625)</f>
        <v>6.1935000000000002</v>
      </c>
      <c r="K36">
        <f>AVERAGE(2.783,2.853)</f>
        <v>2.8180000000000001</v>
      </c>
    </row>
    <row r="37" spans="1:22" x14ac:dyDescent="0.2">
      <c r="A37">
        <v>20241020</v>
      </c>
      <c r="B37">
        <v>1402492</v>
      </c>
      <c r="C37" t="s">
        <v>214</v>
      </c>
      <c r="D37" t="s">
        <v>186</v>
      </c>
      <c r="J37">
        <f>AVERAGE(2.19,1.855)</f>
        <v>2.0225</v>
      </c>
      <c r="K37">
        <f>AVERAGE(3.211,2.565)</f>
        <v>2.8879999999999999</v>
      </c>
    </row>
    <row r="38" spans="1:22" x14ac:dyDescent="0.2">
      <c r="A38">
        <v>20250616</v>
      </c>
      <c r="B38">
        <v>1489094</v>
      </c>
      <c r="C38" t="s">
        <v>215</v>
      </c>
      <c r="D38" t="s">
        <v>184</v>
      </c>
      <c r="E38">
        <f>AVERAGE(16.8935,12.541)</f>
        <v>14.71725</v>
      </c>
      <c r="H38">
        <f>AVERAGE(5.343,5.635)</f>
        <v>5.4889999999999999</v>
      </c>
      <c r="I38">
        <f>AVERAGE(3.645,3.946)</f>
        <v>3.7955000000000001</v>
      </c>
      <c r="J38">
        <f>AVERAGE(2.586,2.695)</f>
        <v>2.6404999999999998</v>
      </c>
      <c r="K38">
        <f>AVERAGE(5.64,1.283)</f>
        <v>3.4615</v>
      </c>
    </row>
    <row r="39" spans="1:22" x14ac:dyDescent="0.2">
      <c r="A39">
        <v>20250616</v>
      </c>
      <c r="B39">
        <v>1489094</v>
      </c>
      <c r="C39" t="s">
        <v>216</v>
      </c>
      <c r="D39" t="s">
        <v>186</v>
      </c>
      <c r="E39">
        <f>AVERAGE(21.521,21.521)</f>
        <v>21.521000000000001</v>
      </c>
      <c r="H39" s="45">
        <f>AVERAGE(21.521,21.521)</f>
        <v>21.521000000000001</v>
      </c>
      <c r="I39">
        <f>AVERAGE(10.795,4.665)</f>
        <v>7.73</v>
      </c>
      <c r="J39">
        <f>AVERAGE(6.567,11.616)</f>
        <v>9.0914999999999999</v>
      </c>
      <c r="K39">
        <f>AVERAGE(8.897,9.923)</f>
        <v>9.41</v>
      </c>
    </row>
    <row r="43" spans="1:22" x14ac:dyDescent="0.2">
      <c r="A43" t="s">
        <v>321</v>
      </c>
    </row>
    <row r="44" spans="1:22" ht="23" x14ac:dyDescent="0.25">
      <c r="A44" t="s">
        <v>172</v>
      </c>
      <c r="B44" t="s">
        <v>173</v>
      </c>
      <c r="C44" t="s">
        <v>174</v>
      </c>
      <c r="E44" t="s">
        <v>175</v>
      </c>
      <c r="F44" t="s">
        <v>176</v>
      </c>
      <c r="G44" t="s">
        <v>177</v>
      </c>
      <c r="H44" t="s">
        <v>178</v>
      </c>
      <c r="I44" t="s">
        <v>179</v>
      </c>
      <c r="J44" t="s">
        <v>180</v>
      </c>
      <c r="K44" t="s">
        <v>181</v>
      </c>
      <c r="R44" s="14" t="s">
        <v>495</v>
      </c>
      <c r="S44" s="14"/>
      <c r="T44" s="14"/>
      <c r="U44" s="14"/>
      <c r="V44" s="1"/>
    </row>
    <row r="45" spans="1:22" ht="23" x14ac:dyDescent="0.25">
      <c r="A45">
        <v>20231212</v>
      </c>
      <c r="B45">
        <v>1263756</v>
      </c>
      <c r="C45" t="s">
        <v>217</v>
      </c>
      <c r="D45" t="s">
        <v>218</v>
      </c>
      <c r="E45">
        <f>AVERAGE(12.541,12.541)</f>
        <v>12.541</v>
      </c>
      <c r="F45" s="45">
        <f>AVERAGE(13.441,7.44)</f>
        <v>10.4405</v>
      </c>
      <c r="G45">
        <f>AVERAGE(8.838,12.541)</f>
        <v>10.689499999999999</v>
      </c>
      <c r="H45">
        <f>AVERAGE(10.159,9.3)</f>
        <v>9.7295000000000016</v>
      </c>
      <c r="I45">
        <f>AVERAGE(9.454,14.223)</f>
        <v>11.8385</v>
      </c>
      <c r="K45">
        <f>AVERAGE(9.293,12.541)</f>
        <v>10.917</v>
      </c>
      <c r="R45" s="14" t="s">
        <v>496</v>
      </c>
      <c r="S45" s="14"/>
      <c r="T45" s="14"/>
      <c r="U45" s="14"/>
      <c r="V45" s="1"/>
    </row>
    <row r="46" spans="1:22" x14ac:dyDescent="0.2">
      <c r="A46">
        <v>20231212</v>
      </c>
      <c r="B46">
        <v>1263756</v>
      </c>
      <c r="C46" t="s">
        <v>219</v>
      </c>
      <c r="D46" t="s">
        <v>220</v>
      </c>
      <c r="E46">
        <f>AVERAGE(21.521,21.521)</f>
        <v>21.521000000000001</v>
      </c>
      <c r="F46" s="45">
        <f>AVERAGE(7.566,21.521)</f>
        <v>14.5435</v>
      </c>
      <c r="G46">
        <f>AVERAGE(12.541,12.541)</f>
        <v>12.541</v>
      </c>
      <c r="H46">
        <f>AVERAGE(9.454,16.885)</f>
        <v>13.169500000000001</v>
      </c>
      <c r="I46">
        <f>AVERAGE(13.102,13.102)</f>
        <v>13.102</v>
      </c>
      <c r="K46">
        <f>AVERAGE(9.826,11.143)</f>
        <v>10.484500000000001</v>
      </c>
      <c r="L46" t="s">
        <v>182</v>
      </c>
    </row>
    <row r="47" spans="1:22" x14ac:dyDescent="0.2">
      <c r="A47">
        <v>20231213</v>
      </c>
      <c r="B47">
        <v>1263753</v>
      </c>
      <c r="C47" t="s">
        <v>221</v>
      </c>
      <c r="D47" t="s">
        <v>218</v>
      </c>
      <c r="E47">
        <v>21.521000000000001</v>
      </c>
      <c r="F47" s="45">
        <f>AVERAGE(21.521,21.521)</f>
        <v>21.521000000000001</v>
      </c>
      <c r="G47">
        <f>AVERAGE(8.368,9.166)</f>
        <v>8.7669999999999995</v>
      </c>
      <c r="H47">
        <f>AVERAGE(7.566,15.457)</f>
        <v>11.5115</v>
      </c>
      <c r="I47">
        <f>AVERAGE(10.746,11.584)</f>
        <v>11.164999999999999</v>
      </c>
      <c r="K47">
        <f>AVERAGE(12.541,9.454)</f>
        <v>10.9975</v>
      </c>
      <c r="L47">
        <f>AVERAGE(12.541,7.566)</f>
        <v>10.0535</v>
      </c>
    </row>
    <row r="48" spans="1:22" x14ac:dyDescent="0.2">
      <c r="A48">
        <v>20231213</v>
      </c>
      <c r="B48">
        <v>1263753</v>
      </c>
      <c r="C48" t="s">
        <v>222</v>
      </c>
      <c r="D48" t="s">
        <v>220</v>
      </c>
      <c r="E48">
        <f>AVERAGE(10.159,10.159)</f>
        <v>10.159000000000001</v>
      </c>
      <c r="F48">
        <f>AVERAGE(48.4996,42.145)</f>
        <v>45.322299999999998</v>
      </c>
      <c r="G48">
        <f>AVERAGE(21.521,12.541)</f>
        <v>17.030999999999999</v>
      </c>
      <c r="H48">
        <f>AVERAGE(17.585,18.996)</f>
        <v>18.290500000000002</v>
      </c>
      <c r="I48">
        <f>AVERAGE(11.584,12.541)</f>
        <v>12.0625</v>
      </c>
      <c r="K48">
        <f>AVERAGE(18.966,14.137)</f>
        <v>16.551500000000001</v>
      </c>
      <c r="L48">
        <f>AVERAGE(16.835,16.835)</f>
        <v>16.835000000000001</v>
      </c>
    </row>
    <row r="49" spans="1:15" x14ac:dyDescent="0.2">
      <c r="A49">
        <v>20240807</v>
      </c>
      <c r="B49">
        <v>1374526</v>
      </c>
      <c r="C49" t="s">
        <v>223</v>
      </c>
      <c r="D49" t="s">
        <v>184</v>
      </c>
      <c r="G49">
        <f>AVERAGE(11.109,11.143)</f>
        <v>11.126000000000001</v>
      </c>
      <c r="H49">
        <f>AVERAGE(7.84,10.471)</f>
        <v>9.1555</v>
      </c>
      <c r="I49">
        <f>AVERAGE(12.541,16.835)</f>
        <v>14.688000000000001</v>
      </c>
      <c r="J49">
        <f>AVERAGE(17.585,21.521)</f>
        <v>19.553000000000001</v>
      </c>
      <c r="K49">
        <f>AVERAGE(11.625,21.521)</f>
        <v>16.573</v>
      </c>
      <c r="L49">
        <f>AVERAGE(10.795,15.457)</f>
        <v>13.126000000000001</v>
      </c>
      <c r="N49">
        <f>AVERAGE(E48:F48)</f>
        <v>27.740649999999999</v>
      </c>
      <c r="O49" t="s">
        <v>322</v>
      </c>
    </row>
    <row r="50" spans="1:15" x14ac:dyDescent="0.2">
      <c r="A50">
        <v>20240807</v>
      </c>
      <c r="B50">
        <v>1374526</v>
      </c>
      <c r="C50" t="s">
        <v>224</v>
      </c>
      <c r="D50" t="s">
        <v>186</v>
      </c>
      <c r="G50">
        <f>AVERAGE(21.521,21.521)</f>
        <v>21.521000000000001</v>
      </c>
      <c r="H50">
        <f>AVERAGE(25.253,21.521)</f>
        <v>23.387</v>
      </c>
      <c r="I50">
        <f>AVERAGE(21.521,16.835)</f>
        <v>19.178000000000001</v>
      </c>
      <c r="J50">
        <f>AVERAGE(17.585,11.109)</f>
        <v>14.347000000000001</v>
      </c>
      <c r="K50">
        <f>AVERAGE(21.521,16.835)</f>
        <v>19.178000000000001</v>
      </c>
      <c r="L50">
        <f>AVERAGE(14.181,12.541)</f>
        <v>13.361000000000001</v>
      </c>
    </row>
    <row r="51" spans="1:15" x14ac:dyDescent="0.2">
      <c r="A51">
        <v>20240807</v>
      </c>
      <c r="B51">
        <v>1374517</v>
      </c>
      <c r="C51" t="s">
        <v>225</v>
      </c>
      <c r="D51" t="s">
        <v>184</v>
      </c>
      <c r="G51">
        <f>AVERAGE(15.457,21.521)</f>
        <v>18.489000000000001</v>
      </c>
      <c r="H51">
        <f>AVERAGE(21.521,21.521)</f>
        <v>21.521000000000001</v>
      </c>
      <c r="I51">
        <f>AVERAGE(21.521,21.521)</f>
        <v>21.521000000000001</v>
      </c>
      <c r="J51">
        <f>AVERAGE(16.835,21.521)</f>
        <v>19.178000000000001</v>
      </c>
      <c r="K51">
        <f>AVERAGE(21.521,21.521)</f>
        <v>21.521000000000001</v>
      </c>
      <c r="L51">
        <f>AVERAGE(10.471,10.471)</f>
        <v>10.471</v>
      </c>
    </row>
    <row r="52" spans="1:15" x14ac:dyDescent="0.2">
      <c r="A52">
        <v>20240807</v>
      </c>
      <c r="B52">
        <v>1374517</v>
      </c>
      <c r="C52" t="s">
        <v>226</v>
      </c>
      <c r="D52" t="s">
        <v>186</v>
      </c>
      <c r="G52">
        <f>AVERAGE(21.521,21.521)</f>
        <v>21.521000000000001</v>
      </c>
      <c r="H52">
        <f>AVERAGE(21.521,21.521)</f>
        <v>21.521000000000001</v>
      </c>
      <c r="I52">
        <f>AVERAGE(21.521,21.521)</f>
        <v>21.521000000000001</v>
      </c>
      <c r="J52">
        <f>AVERAGE(16.835,21.521)</f>
        <v>19.178000000000001</v>
      </c>
      <c r="K52">
        <f>AVERAGE(21.521,21.521)</f>
        <v>21.521000000000001</v>
      </c>
      <c r="L52">
        <f>AVERAGE(21.521,21.521)</f>
        <v>21.521000000000001</v>
      </c>
    </row>
    <row r="53" spans="1:15" x14ac:dyDescent="0.2">
      <c r="A53">
        <v>20241030</v>
      </c>
      <c r="B53">
        <v>1402487</v>
      </c>
      <c r="C53" t="s">
        <v>227</v>
      </c>
      <c r="D53" t="s">
        <v>184</v>
      </c>
      <c r="J53">
        <f>AVERAGE(17.585,14.137)</f>
        <v>15.861000000000001</v>
      </c>
      <c r="K53">
        <f>AVERAGE(21.521,25.253)</f>
        <v>23.387</v>
      </c>
      <c r="L53">
        <f>AVERAGE(21.521,21.521)</f>
        <v>21.521000000000001</v>
      </c>
    </row>
    <row r="54" spans="1:15" x14ac:dyDescent="0.2">
      <c r="A54">
        <v>20241030</v>
      </c>
      <c r="B54">
        <v>1402487</v>
      </c>
      <c r="C54" t="s">
        <v>228</v>
      </c>
      <c r="D54" t="s">
        <v>186</v>
      </c>
      <c r="J54">
        <f>AVERAGE(12.541,11.109)</f>
        <v>11.824999999999999</v>
      </c>
      <c r="K54">
        <f>AVERAGE(25.521,17.585)</f>
        <v>21.553000000000001</v>
      </c>
      <c r="L54">
        <f>AVERAGE(21.521,21.521)</f>
        <v>21.521000000000001</v>
      </c>
    </row>
    <row r="55" spans="1:15" x14ac:dyDescent="0.2">
      <c r="A55">
        <v>20241030</v>
      </c>
      <c r="B55">
        <v>1402489</v>
      </c>
      <c r="C55" t="s">
        <v>229</v>
      </c>
      <c r="D55" t="s">
        <v>184</v>
      </c>
      <c r="K55">
        <f>AVERAGE(21.521,21.521)</f>
        <v>21.521000000000001</v>
      </c>
      <c r="L55">
        <f>AVERAGE(18.996,18.996)</f>
        <v>18.995999999999999</v>
      </c>
    </row>
    <row r="56" spans="1:15" x14ac:dyDescent="0.2">
      <c r="A56">
        <v>20241030</v>
      </c>
      <c r="B56">
        <v>1402489</v>
      </c>
      <c r="C56" t="s">
        <v>230</v>
      </c>
      <c r="D56" t="s">
        <v>186</v>
      </c>
      <c r="K56">
        <f>AVERAGE(19.996,18.996)</f>
        <v>19.495999999999999</v>
      </c>
      <c r="L56">
        <f>AVERAGE(21.521,14.137)</f>
        <v>17.829000000000001</v>
      </c>
    </row>
    <row r="57" spans="1:15" x14ac:dyDescent="0.2">
      <c r="L57">
        <f>AVERAGE(21.521,21.521)</f>
        <v>21.521000000000001</v>
      </c>
    </row>
    <row r="58" spans="1:15" x14ac:dyDescent="0.2">
      <c r="L58">
        <f>AVERAGE(21.521,21.521)</f>
        <v>21.521000000000001</v>
      </c>
    </row>
    <row r="59" spans="1:15" x14ac:dyDescent="0.2">
      <c r="A59" t="s">
        <v>323</v>
      </c>
      <c r="F59" s="47" t="s">
        <v>324</v>
      </c>
    </row>
    <row r="60" spans="1:15" x14ac:dyDescent="0.2">
      <c r="A60" t="s">
        <v>172</v>
      </c>
      <c r="B60" t="s">
        <v>173</v>
      </c>
      <c r="C60" t="s">
        <v>174</v>
      </c>
      <c r="E60" t="s">
        <v>175</v>
      </c>
      <c r="F60" t="s">
        <v>179</v>
      </c>
      <c r="G60" t="s">
        <v>180</v>
      </c>
      <c r="H60" t="s">
        <v>181</v>
      </c>
      <c r="I60" t="s">
        <v>182</v>
      </c>
    </row>
    <row r="61" spans="1:15" x14ac:dyDescent="0.2">
      <c r="A61">
        <v>20240808</v>
      </c>
      <c r="B61">
        <v>1374525</v>
      </c>
      <c r="C61" t="s">
        <v>231</v>
      </c>
      <c r="D61" t="s">
        <v>184</v>
      </c>
      <c r="E61">
        <f>AVERAGE(11.282,26.175)</f>
        <v>18.7285</v>
      </c>
      <c r="F61">
        <f>AVERAGE(12.541,6.567)</f>
        <v>9.5540000000000003</v>
      </c>
      <c r="G61">
        <f>AVERAGE(7.44,21.521)</f>
        <v>14.480500000000001</v>
      </c>
      <c r="H61">
        <f>AVERAGE(11.109,17.585)</f>
        <v>14.347000000000001</v>
      </c>
      <c r="I61">
        <f>AVERAGE(16.835,21.521,21.521)</f>
        <v>19.959</v>
      </c>
    </row>
    <row r="62" spans="1:15" x14ac:dyDescent="0.2">
      <c r="A62">
        <v>20240808</v>
      </c>
      <c r="B62">
        <v>1374525</v>
      </c>
      <c r="C62" t="s">
        <v>232</v>
      </c>
      <c r="D62" t="s">
        <v>186</v>
      </c>
      <c r="E62">
        <f>AVERAGE(26.175,26.175)</f>
        <v>26.175000000000001</v>
      </c>
      <c r="F62">
        <f>AVERAGE(7.566,9.3)</f>
        <v>8.4329999999999998</v>
      </c>
      <c r="G62">
        <f>AVERAGE(11.625,11.143)</f>
        <v>11.384</v>
      </c>
      <c r="H62">
        <f>AVERAGE(14.137,13.287)</f>
        <v>13.712</v>
      </c>
      <c r="I62">
        <f>AVERAGE(21.521,21.521)</f>
        <v>21.521000000000001</v>
      </c>
    </row>
    <row r="63" spans="1:15" x14ac:dyDescent="0.2">
      <c r="A63">
        <v>20240808</v>
      </c>
      <c r="B63">
        <v>1374518</v>
      </c>
      <c r="C63" t="s">
        <v>233</v>
      </c>
      <c r="D63" t="s">
        <v>184</v>
      </c>
      <c r="E63">
        <f>AVERAGE(26.175,26.175)</f>
        <v>26.175000000000001</v>
      </c>
      <c r="F63">
        <f>AVERAGE(12.541,6.89)</f>
        <v>9.7155000000000005</v>
      </c>
      <c r="G63">
        <f>AVERAGE(9.454,9.454)</f>
        <v>9.4540000000000006</v>
      </c>
      <c r="H63">
        <f>AVERAGE(9.454,21.521)</f>
        <v>15.487500000000001</v>
      </c>
      <c r="I63">
        <f>AVERAGE(21.521,21.521)</f>
        <v>21.521000000000001</v>
      </c>
    </row>
    <row r="64" spans="1:15" x14ac:dyDescent="0.2">
      <c r="A64">
        <v>20240808</v>
      </c>
      <c r="B64">
        <v>1374518</v>
      </c>
      <c r="C64" t="s">
        <v>234</v>
      </c>
      <c r="D64" t="s">
        <v>186</v>
      </c>
      <c r="E64">
        <f>AVERAGE(11.579,22.086)</f>
        <v>16.8325</v>
      </c>
      <c r="F64">
        <f>AVERAGE(8.127,6.567)</f>
        <v>7.3470000000000004</v>
      </c>
      <c r="G64">
        <f>AVERAGE(8.96,11.625)</f>
        <v>10.2925</v>
      </c>
      <c r="H64">
        <f>AVERAGE(9.3,21.521)</f>
        <v>15.410500000000001</v>
      </c>
      <c r="I64">
        <f>AVERAGE(8.135,12.541)</f>
        <v>10.338000000000001</v>
      </c>
    </row>
    <row r="65" spans="1:11" x14ac:dyDescent="0.2">
      <c r="A65">
        <v>20241030</v>
      </c>
      <c r="B65">
        <v>1402491</v>
      </c>
      <c r="C65" t="s">
        <v>235</v>
      </c>
      <c r="D65" t="s">
        <v>184</v>
      </c>
      <c r="E65">
        <f>AVERAGE(13.251,13.251)</f>
        <v>13.250999999999999</v>
      </c>
      <c r="G65">
        <f>AVERAGE(13.102,12.541)</f>
        <v>12.8215</v>
      </c>
      <c r="H65">
        <f>AVERAGE(21.521,21.521)</f>
        <v>21.521000000000001</v>
      </c>
      <c r="I65">
        <f>AVERAGE(18.996,18.996)</f>
        <v>18.995999999999999</v>
      </c>
    </row>
    <row r="66" spans="1:11" x14ac:dyDescent="0.2">
      <c r="A66">
        <v>20241030</v>
      </c>
      <c r="B66">
        <v>1402491</v>
      </c>
      <c r="C66" t="s">
        <v>236</v>
      </c>
      <c r="D66" t="s">
        <v>186</v>
      </c>
      <c r="E66">
        <f>AVERAGE(26.175,26.175)</f>
        <v>26.175000000000001</v>
      </c>
      <c r="G66">
        <f>AVERAGE(11.625,9.454)</f>
        <v>10.5395</v>
      </c>
      <c r="H66">
        <f>AVERAGE(6.625,16.835)</f>
        <v>11.73</v>
      </c>
      <c r="I66">
        <f>AVERAGE(17.585,17.585)</f>
        <v>17.585000000000001</v>
      </c>
    </row>
    <row r="67" spans="1:11" x14ac:dyDescent="0.2">
      <c r="A67">
        <v>20241030</v>
      </c>
      <c r="B67">
        <v>1408752</v>
      </c>
      <c r="C67" t="s">
        <v>237</v>
      </c>
      <c r="D67" t="s">
        <v>184</v>
      </c>
      <c r="E67">
        <f>AVERAGE(14.937,17.607)</f>
        <v>16.271999999999998</v>
      </c>
      <c r="H67">
        <f>AVERAGE(21.521,21.521)</f>
        <v>21.521000000000001</v>
      </c>
      <c r="I67">
        <f>AVERAGE(12.541,9.166)</f>
        <v>10.8535</v>
      </c>
    </row>
    <row r="68" spans="1:11" x14ac:dyDescent="0.2">
      <c r="A68">
        <v>20241030</v>
      </c>
      <c r="B68">
        <v>1408752</v>
      </c>
      <c r="C68" t="s">
        <v>238</v>
      </c>
      <c r="D68" t="s">
        <v>186</v>
      </c>
      <c r="E68">
        <f>AVERAGE(23.104,23.104)</f>
        <v>23.103999999999999</v>
      </c>
      <c r="H68">
        <f>AVERAGE(21.521,21.521)</f>
        <v>21.521000000000001</v>
      </c>
      <c r="I68">
        <f>AVERAGE(11.938,21.521)</f>
        <v>16.729500000000002</v>
      </c>
    </row>
    <row r="70" spans="1:11" x14ac:dyDescent="0.2">
      <c r="A70" t="s">
        <v>172</v>
      </c>
      <c r="B70" t="s">
        <v>173</v>
      </c>
      <c r="C70" t="s">
        <v>174</v>
      </c>
      <c r="E70" t="s">
        <v>175</v>
      </c>
      <c r="F70" t="s">
        <v>176</v>
      </c>
      <c r="G70" t="s">
        <v>178</v>
      </c>
      <c r="H70" t="s">
        <v>179</v>
      </c>
      <c r="I70" t="s">
        <v>180</v>
      </c>
      <c r="J70" t="s">
        <v>181</v>
      </c>
      <c r="K70" t="s">
        <v>182</v>
      </c>
    </row>
    <row r="71" spans="1:11" x14ac:dyDescent="0.2">
      <c r="A71">
        <v>20250623</v>
      </c>
      <c r="B71">
        <v>1489095</v>
      </c>
      <c r="C71" t="s">
        <v>239</v>
      </c>
      <c r="D71" t="s">
        <v>184</v>
      </c>
      <c r="E71">
        <f>AVERAGE(15.239,15.239)</f>
        <v>15.239000000000001</v>
      </c>
      <c r="F71">
        <f>AVERAGE(14.137,16.835)</f>
        <v>15.486000000000001</v>
      </c>
      <c r="G71">
        <f>AVERAGE(2.586,3.645)</f>
        <v>3.1154999999999999</v>
      </c>
      <c r="H71">
        <f>AVERAGE(1.871,1.704)</f>
        <v>1.7875000000000001</v>
      </c>
      <c r="I71">
        <f>AVERAGE(3.077,3.077)</f>
        <v>3.077</v>
      </c>
      <c r="J71">
        <f>AVERAGE(3.645,3.077)</f>
        <v>3.3609999999999998</v>
      </c>
      <c r="K71">
        <f>AVERAGE(3.077,2.586)</f>
        <v>2.8315000000000001</v>
      </c>
    </row>
    <row r="72" spans="1:11" x14ac:dyDescent="0.2">
      <c r="A72">
        <v>20250623</v>
      </c>
      <c r="B72">
        <v>1489095</v>
      </c>
      <c r="C72" t="s">
        <v>240</v>
      </c>
      <c r="D72" t="s">
        <v>186</v>
      </c>
      <c r="E72">
        <f>AVERAGE(21.521,18.996)</f>
        <v>20.258499999999998</v>
      </c>
      <c r="F72">
        <f>AVERAGE(21.521,21.521)</f>
        <v>21.521000000000001</v>
      </c>
      <c r="G72">
        <f>AVERAGE(9.801,3.645)</f>
        <v>6.7229999999999999</v>
      </c>
      <c r="H72">
        <f>AVERAGE(8.368,6.967)</f>
        <v>7.6675000000000004</v>
      </c>
      <c r="I72">
        <f>AVERAGE(3.077,6.567)</f>
        <v>4.8220000000000001</v>
      </c>
      <c r="J72">
        <f>AVERAGE(3.077,4.665)</f>
        <v>3.871</v>
      </c>
      <c r="K72">
        <f>AVERAGE(4.665,7.566)</f>
        <v>6.1154999999999999</v>
      </c>
    </row>
    <row r="75" spans="1:11" x14ac:dyDescent="0.2">
      <c r="A75" t="s">
        <v>172</v>
      </c>
      <c r="B75" t="s">
        <v>173</v>
      </c>
      <c r="C75" t="s">
        <v>174</v>
      </c>
      <c r="E75" t="s">
        <v>175</v>
      </c>
      <c r="F75" t="s">
        <v>176</v>
      </c>
      <c r="G75" t="s">
        <v>178</v>
      </c>
      <c r="H75" t="s">
        <v>179</v>
      </c>
      <c r="I75" t="s">
        <v>180</v>
      </c>
      <c r="J75" t="s">
        <v>181</v>
      </c>
      <c r="K75" t="s">
        <v>182</v>
      </c>
    </row>
    <row r="76" spans="1:11" x14ac:dyDescent="0.2">
      <c r="A76">
        <v>20250623</v>
      </c>
      <c r="B76">
        <v>1489096</v>
      </c>
      <c r="C76" t="s">
        <v>241</v>
      </c>
      <c r="D76" t="s">
        <v>184</v>
      </c>
      <c r="F76">
        <f>AVERAGE(18.159,18.159)</f>
        <v>18.158999999999999</v>
      </c>
      <c r="G76">
        <f>AVERAGE(21.521,7.131)</f>
        <v>14.326000000000001</v>
      </c>
      <c r="H76">
        <f>AVERAGE(10.677,12.541)</f>
        <v>11.609</v>
      </c>
      <c r="I76">
        <f>AVERAGE(21.521,21.521)</f>
        <v>21.521000000000001</v>
      </c>
      <c r="J76">
        <f>AVERAGE(21.521,21.521)</f>
        <v>21.521000000000001</v>
      </c>
      <c r="K76">
        <f>AVERAGE(18.996,12.541)</f>
        <v>15.7685</v>
      </c>
    </row>
    <row r="77" spans="1:11" x14ac:dyDescent="0.2">
      <c r="A77">
        <v>20250623</v>
      </c>
      <c r="B77">
        <v>1489096</v>
      </c>
      <c r="C77" t="s">
        <v>242</v>
      </c>
      <c r="D77" t="s">
        <v>186</v>
      </c>
      <c r="F77">
        <f>AVERAGE(14.137,15.253)</f>
        <v>14.695</v>
      </c>
      <c r="G77">
        <f>AVERAGE(6.567)</f>
        <v>6.5670000000000002</v>
      </c>
      <c r="H77">
        <f>AVERAGE(11.109)</f>
        <v>11.109</v>
      </c>
      <c r="I77">
        <f>AVERAGE(7.566,14.137)</f>
        <v>10.8515</v>
      </c>
      <c r="J77">
        <f>AVERAGE(12.541,12.541)</f>
        <v>12.541</v>
      </c>
      <c r="K77">
        <f>AVERAGE(9.013,11.625)</f>
        <v>10.318999999999999</v>
      </c>
    </row>
    <row r="79" spans="1:11" x14ac:dyDescent="0.2">
      <c r="A79" t="s">
        <v>172</v>
      </c>
      <c r="B79" t="s">
        <v>173</v>
      </c>
      <c r="C79" t="s">
        <v>174</v>
      </c>
      <c r="E79" t="s">
        <v>175</v>
      </c>
      <c r="F79" t="s">
        <v>176</v>
      </c>
      <c r="G79" t="s">
        <v>178</v>
      </c>
      <c r="H79" t="s">
        <v>179</v>
      </c>
      <c r="I79" t="s">
        <v>180</v>
      </c>
      <c r="J79" t="s">
        <v>181</v>
      </c>
      <c r="K79" t="s">
        <v>182</v>
      </c>
    </row>
    <row r="80" spans="1:11" x14ac:dyDescent="0.2">
      <c r="A80">
        <v>20250623</v>
      </c>
      <c r="B80">
        <v>1489097</v>
      </c>
      <c r="C80" t="s">
        <v>243</v>
      </c>
      <c r="D80" t="s">
        <v>184</v>
      </c>
      <c r="F80">
        <f>AVERAGE(21.521,21.521)</f>
        <v>21.521000000000001</v>
      </c>
      <c r="G80">
        <f>AVERAGE(21.521,15.457)</f>
        <v>18.489000000000001</v>
      </c>
      <c r="H80">
        <f>AVERAGE(12.541,8.368)</f>
        <v>10.454499999999999</v>
      </c>
      <c r="I80">
        <f>AVERAGE(21.521,21.521)</f>
        <v>21.521000000000001</v>
      </c>
      <c r="J80">
        <f>AVERAGE(14.137,6.567)</f>
        <v>10.352</v>
      </c>
      <c r="K80">
        <f>AVERAGE(11.143,8.368)</f>
        <v>9.7555000000000014</v>
      </c>
    </row>
    <row r="81" spans="1:11" x14ac:dyDescent="0.2">
      <c r="A81">
        <v>20250623</v>
      </c>
      <c r="B81">
        <v>1489097</v>
      </c>
      <c r="C81" t="s">
        <v>244</v>
      </c>
      <c r="D81" t="s">
        <v>186</v>
      </c>
      <c r="F81">
        <f>AVERAGE(13.986,13.986)</f>
        <v>13.986000000000001</v>
      </c>
      <c r="G81">
        <f>AVERAGE(4.189,10.746)</f>
        <v>7.4675000000000002</v>
      </c>
      <c r="H81">
        <f>AVERAGE(10.397,14.937)</f>
        <v>12.667</v>
      </c>
      <c r="I81">
        <f>AVERAGE(7.566,14.137)</f>
        <v>10.8515</v>
      </c>
      <c r="J81">
        <f>AVERAGE(8.127,9.454)</f>
        <v>8.7905000000000015</v>
      </c>
      <c r="K81">
        <f>AVERAGE(13.251,12.541)</f>
        <v>12.896000000000001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848B-8405-9A41-85F3-021414BABBF1}">
  <dimension ref="A1:L35"/>
  <sheetViews>
    <sheetView workbookViewId="0">
      <selection activeCell="H29" sqref="H29"/>
    </sheetView>
  </sheetViews>
  <sheetFormatPr baseColWidth="10" defaultRowHeight="16" x14ac:dyDescent="0.2"/>
  <cols>
    <col min="1" max="1" width="17.6640625" bestFit="1" customWidth="1"/>
    <col min="2" max="2" width="12.5" bestFit="1" customWidth="1"/>
    <col min="3" max="3" width="13.33203125" bestFit="1" customWidth="1"/>
    <col min="4" max="5" width="12.5" bestFit="1" customWidth="1"/>
    <col min="8" max="8" width="17.6640625" bestFit="1" customWidth="1"/>
    <col min="9" max="9" width="12.5" bestFit="1" customWidth="1"/>
    <col min="10" max="10" width="13.33203125" bestFit="1" customWidth="1"/>
    <col min="11" max="12" width="12.5" bestFit="1" customWidth="1"/>
  </cols>
  <sheetData>
    <row r="1" spans="1:12" x14ac:dyDescent="0.2">
      <c r="A1" s="2" t="s">
        <v>245</v>
      </c>
      <c r="B1" s="3">
        <v>14</v>
      </c>
      <c r="C1" s="3">
        <v>4</v>
      </c>
      <c r="D1" s="3">
        <v>14</v>
      </c>
      <c r="E1" s="4">
        <v>8</v>
      </c>
      <c r="H1" s="2" t="s">
        <v>245</v>
      </c>
      <c r="I1" s="3">
        <v>14</v>
      </c>
      <c r="J1" s="3">
        <v>6</v>
      </c>
      <c r="K1" s="3">
        <v>14</v>
      </c>
      <c r="L1" s="4">
        <v>12</v>
      </c>
    </row>
    <row r="2" spans="1:12" x14ac:dyDescent="0.2">
      <c r="A2" s="56" t="s">
        <v>248</v>
      </c>
      <c r="B2" s="17" t="s">
        <v>249</v>
      </c>
      <c r="C2" s="17" t="s">
        <v>250</v>
      </c>
      <c r="D2" s="17" t="s">
        <v>1</v>
      </c>
      <c r="E2" s="57" t="s">
        <v>170</v>
      </c>
      <c r="H2" s="56" t="s">
        <v>252</v>
      </c>
      <c r="I2" s="17" t="s">
        <v>249</v>
      </c>
      <c r="J2" s="17" t="s">
        <v>250</v>
      </c>
      <c r="K2" s="17" t="s">
        <v>1</v>
      </c>
      <c r="L2" s="57" t="s">
        <v>170</v>
      </c>
    </row>
    <row r="3" spans="1:12" x14ac:dyDescent="0.2">
      <c r="A3" s="5"/>
      <c r="B3" s="8">
        <v>12.541</v>
      </c>
      <c r="C3" s="8">
        <v>20.578499999999998</v>
      </c>
      <c r="D3" s="8">
        <v>2.3904999999999998</v>
      </c>
      <c r="E3" s="50">
        <v>11.8385</v>
      </c>
      <c r="H3" s="5"/>
      <c r="I3" s="8">
        <v>13.712</v>
      </c>
      <c r="J3" s="8">
        <v>17.372250000000001</v>
      </c>
      <c r="K3" s="8">
        <v>4.8220000000000001</v>
      </c>
      <c r="L3" s="50">
        <v>10.917</v>
      </c>
    </row>
    <row r="4" spans="1:12" x14ac:dyDescent="0.2">
      <c r="A4" s="5"/>
      <c r="B4" s="8">
        <v>15.063000000000001</v>
      </c>
      <c r="C4" s="8">
        <v>19.178000000000001</v>
      </c>
      <c r="D4" s="8">
        <v>3.266</v>
      </c>
      <c r="E4" s="50">
        <v>13.102</v>
      </c>
      <c r="H4" s="5"/>
      <c r="I4" s="8">
        <v>14.688000000000001</v>
      </c>
      <c r="J4" s="8">
        <v>17.030999999999999</v>
      </c>
      <c r="K4" s="8">
        <v>1.6140000000000001</v>
      </c>
      <c r="L4" s="50">
        <v>10.484500000000001</v>
      </c>
    </row>
    <row r="5" spans="1:12" x14ac:dyDescent="0.2">
      <c r="A5" s="5"/>
      <c r="B5" s="8">
        <v>13.89</v>
      </c>
      <c r="C5" s="8">
        <v>21.521000000000001</v>
      </c>
      <c r="D5" s="8">
        <v>3.7330000000000001</v>
      </c>
      <c r="E5" s="50">
        <v>11.164999999999999</v>
      </c>
      <c r="H5" s="5"/>
      <c r="I5" s="8">
        <v>12.541</v>
      </c>
      <c r="J5" s="8">
        <v>13.4435</v>
      </c>
      <c r="K5" s="8">
        <v>4.665</v>
      </c>
      <c r="L5" s="50">
        <v>10.9975</v>
      </c>
    </row>
    <row r="6" spans="1:12" x14ac:dyDescent="0.2">
      <c r="A6" s="5"/>
      <c r="B6" s="8">
        <v>21.521000000000001</v>
      </c>
      <c r="C6" s="8">
        <v>19.178000000000001</v>
      </c>
      <c r="D6" s="8">
        <v>3.7330000000000001</v>
      </c>
      <c r="E6" s="50">
        <v>12.0625</v>
      </c>
      <c r="H6" s="5"/>
      <c r="I6" s="8">
        <v>14.137</v>
      </c>
      <c r="J6" s="8">
        <v>15.4655</v>
      </c>
      <c r="K6" s="8">
        <v>5.6159999999999997</v>
      </c>
      <c r="L6" s="50">
        <v>16.551500000000001</v>
      </c>
    </row>
    <row r="7" spans="1:12" x14ac:dyDescent="0.2">
      <c r="A7" s="5"/>
      <c r="B7" s="8">
        <v>21.521000000000001</v>
      </c>
      <c r="C7" s="8"/>
      <c r="D7" s="8">
        <v>4.3265000000000002</v>
      </c>
      <c r="E7" s="50">
        <v>14.688000000000001</v>
      </c>
      <c r="H7" s="5"/>
      <c r="I7" s="8">
        <v>21.521000000000001</v>
      </c>
      <c r="J7" s="8">
        <v>21.521000000000001</v>
      </c>
      <c r="K7" s="8">
        <v>4.3174999999999999</v>
      </c>
      <c r="L7" s="50">
        <v>16.573</v>
      </c>
    </row>
    <row r="8" spans="1:12" x14ac:dyDescent="0.2">
      <c r="A8" s="5"/>
      <c r="B8" s="8">
        <v>21.521000000000001</v>
      </c>
      <c r="C8" s="8"/>
      <c r="D8" s="8">
        <v>5.7525000000000004</v>
      </c>
      <c r="E8" s="50">
        <v>19.178000000000001</v>
      </c>
      <c r="H8" s="5"/>
      <c r="I8" s="8">
        <v>17.404</v>
      </c>
      <c r="J8" s="8">
        <v>20.349499999999999</v>
      </c>
      <c r="K8" s="8">
        <v>10.352</v>
      </c>
      <c r="L8" s="50">
        <v>19.178000000000001</v>
      </c>
    </row>
    <row r="9" spans="1:12" x14ac:dyDescent="0.2">
      <c r="A9" s="5"/>
      <c r="B9" s="8">
        <v>21.521000000000001</v>
      </c>
      <c r="C9" s="8"/>
      <c r="D9" s="8">
        <v>4.9820000000000002</v>
      </c>
      <c r="E9" s="50">
        <v>21.521000000000001</v>
      </c>
      <c r="H9" s="5"/>
      <c r="I9" s="8">
        <v>20.258500000000002</v>
      </c>
      <c r="J9" s="8"/>
      <c r="K9" s="8">
        <v>4.798</v>
      </c>
      <c r="L9" s="50">
        <v>21.521000000000001</v>
      </c>
    </row>
    <row r="10" spans="1:12" x14ac:dyDescent="0.2">
      <c r="A10" s="5"/>
      <c r="B10" s="8">
        <v>21.521000000000001</v>
      </c>
      <c r="C10" s="8"/>
      <c r="D10" s="8">
        <v>5.1635</v>
      </c>
      <c r="E10" s="50">
        <v>21.521000000000001</v>
      </c>
      <c r="H10" s="5"/>
      <c r="I10" s="8">
        <v>16.566500000000001</v>
      </c>
      <c r="J10" s="8"/>
      <c r="K10" s="8">
        <v>5.0465</v>
      </c>
      <c r="L10" s="50">
        <v>21.521000000000001</v>
      </c>
    </row>
    <row r="11" spans="1:12" x14ac:dyDescent="0.2">
      <c r="A11" s="5"/>
      <c r="B11" s="8">
        <v>21.521000000000001</v>
      </c>
      <c r="C11" s="8"/>
      <c r="D11" s="8">
        <v>2.5215000000000001</v>
      </c>
      <c r="E11" s="50"/>
      <c r="H11" s="5"/>
      <c r="I11" s="8">
        <v>17.155000000000001</v>
      </c>
      <c r="J11" s="8"/>
      <c r="K11" s="8">
        <v>4.4504999999999999</v>
      </c>
      <c r="L11" s="50">
        <v>23.387</v>
      </c>
    </row>
    <row r="12" spans="1:12" x14ac:dyDescent="0.2">
      <c r="A12" s="5"/>
      <c r="B12" s="8">
        <v>17.311499999999999</v>
      </c>
      <c r="C12" s="8"/>
      <c r="D12" s="8">
        <v>9.8010000000000002</v>
      </c>
      <c r="E12" s="50"/>
      <c r="H12" s="5"/>
      <c r="I12" s="8">
        <v>19.713000000000001</v>
      </c>
      <c r="J12" s="8"/>
      <c r="K12" s="8">
        <v>3.8704999999999998</v>
      </c>
      <c r="L12" s="50">
        <v>21.553000000000001</v>
      </c>
    </row>
    <row r="13" spans="1:12" x14ac:dyDescent="0.2">
      <c r="A13" s="5"/>
      <c r="B13" s="8">
        <v>19.553000000000001</v>
      </c>
      <c r="C13" s="8"/>
      <c r="D13" s="8">
        <v>9.5540000000000003</v>
      </c>
      <c r="E13" s="50"/>
      <c r="H13" s="5"/>
      <c r="I13" s="8">
        <v>15.10005</v>
      </c>
      <c r="J13" s="8"/>
      <c r="K13" s="8">
        <v>2.6745000000000001</v>
      </c>
      <c r="L13" s="50">
        <v>21.521000000000001</v>
      </c>
    </row>
    <row r="14" spans="1:12" x14ac:dyDescent="0.2">
      <c r="A14" s="5"/>
      <c r="B14" s="8">
        <v>17.311499999999999</v>
      </c>
      <c r="C14" s="8"/>
      <c r="D14" s="8">
        <v>8.4329999999999998</v>
      </c>
      <c r="E14" s="50"/>
      <c r="H14" s="5"/>
      <c r="I14" s="8">
        <v>14.793950000000001</v>
      </c>
      <c r="J14" s="8"/>
      <c r="K14" s="8">
        <v>5.6529999999999996</v>
      </c>
      <c r="L14" s="50">
        <v>19.495999999999999</v>
      </c>
    </row>
    <row r="15" spans="1:12" x14ac:dyDescent="0.2">
      <c r="A15" s="5"/>
      <c r="B15" s="8">
        <v>18.387</v>
      </c>
      <c r="C15" s="8"/>
      <c r="D15" s="8">
        <v>9.7155000000000005</v>
      </c>
      <c r="E15" s="50"/>
      <c r="H15" s="5"/>
      <c r="I15" s="8">
        <v>13.6455</v>
      </c>
      <c r="J15" s="8"/>
      <c r="K15" s="8">
        <v>6.1935000000000002</v>
      </c>
      <c r="L15" s="50"/>
    </row>
    <row r="16" spans="1:12" x14ac:dyDescent="0.2">
      <c r="A16" s="5"/>
      <c r="B16" s="8">
        <v>19.553000000000001</v>
      </c>
      <c r="C16" s="8"/>
      <c r="D16" s="8">
        <v>7.3470000000000004</v>
      </c>
      <c r="E16" s="50"/>
      <c r="H16" s="5"/>
      <c r="I16" s="8">
        <v>13.486700000000001</v>
      </c>
      <c r="J16" s="8"/>
      <c r="K16" s="8">
        <v>2.0225</v>
      </c>
      <c r="L16" s="50"/>
    </row>
    <row r="17" spans="1:12" x14ac:dyDescent="0.2">
      <c r="A17" s="5"/>
      <c r="B17" s="8"/>
      <c r="C17" s="8"/>
      <c r="D17" s="8"/>
      <c r="E17" s="50"/>
      <c r="H17" s="5"/>
      <c r="I17" s="8"/>
      <c r="J17" s="8"/>
      <c r="K17" s="8"/>
      <c r="L17" s="50"/>
    </row>
    <row r="18" spans="1:12" x14ac:dyDescent="0.2">
      <c r="A18" s="5"/>
      <c r="B18" s="8"/>
      <c r="C18" s="8"/>
      <c r="D18" s="1"/>
      <c r="E18" s="50"/>
      <c r="H18" s="5"/>
      <c r="I18" s="8"/>
      <c r="J18" s="8"/>
      <c r="K18" s="1"/>
      <c r="L18" s="50"/>
    </row>
    <row r="19" spans="1:12" x14ac:dyDescent="0.2">
      <c r="A19" s="5"/>
      <c r="B19" s="1"/>
      <c r="C19" s="8"/>
      <c r="D19" s="1"/>
      <c r="E19" s="6"/>
      <c r="H19" s="5"/>
      <c r="I19" s="1"/>
      <c r="J19" s="8"/>
      <c r="K19" s="1"/>
      <c r="L19" s="6"/>
    </row>
    <row r="20" spans="1:12" x14ac:dyDescent="0.2">
      <c r="A20" s="10" t="s">
        <v>9</v>
      </c>
      <c r="B20" s="8">
        <v>18.77</v>
      </c>
      <c r="C20" s="8">
        <v>20.11</v>
      </c>
      <c r="D20" s="8">
        <v>5.766</v>
      </c>
      <c r="E20" s="50">
        <v>15.63</v>
      </c>
      <c r="H20" s="10" t="s">
        <v>9</v>
      </c>
      <c r="I20" s="8">
        <v>16.05</v>
      </c>
      <c r="J20" s="8">
        <v>17.53</v>
      </c>
      <c r="K20" s="8">
        <v>4.7210000000000001</v>
      </c>
      <c r="L20" s="50">
        <v>17.809999999999999</v>
      </c>
    </row>
    <row r="21" spans="1:12" x14ac:dyDescent="0.2">
      <c r="A21" s="10" t="s">
        <v>10</v>
      </c>
      <c r="B21" s="8">
        <v>3.13</v>
      </c>
      <c r="C21" s="8">
        <v>1.147</v>
      </c>
      <c r="D21" s="8">
        <v>2.7080000000000002</v>
      </c>
      <c r="E21" s="50">
        <v>4.4130000000000003</v>
      </c>
      <c r="H21" s="10" t="s">
        <v>10</v>
      </c>
      <c r="I21" s="8">
        <v>2.8079999999999998</v>
      </c>
      <c r="J21" s="8">
        <v>3.004</v>
      </c>
      <c r="K21" s="8">
        <v>2.1080000000000001</v>
      </c>
      <c r="L21" s="50">
        <v>4.6890000000000001</v>
      </c>
    </row>
    <row r="22" spans="1:12" x14ac:dyDescent="0.2">
      <c r="A22" s="10" t="s">
        <v>11</v>
      </c>
      <c r="B22" s="8">
        <v>0.83660000000000001</v>
      </c>
      <c r="C22" s="8">
        <v>0.5736</v>
      </c>
      <c r="D22" s="8">
        <v>0.72370000000000001</v>
      </c>
      <c r="E22" s="50">
        <v>1.56</v>
      </c>
      <c r="H22" s="10" t="s">
        <v>11</v>
      </c>
      <c r="I22" s="8">
        <v>0.75049999999999994</v>
      </c>
      <c r="J22" s="8">
        <v>1.226</v>
      </c>
      <c r="K22" s="8">
        <v>0.56330000000000002</v>
      </c>
      <c r="L22" s="50">
        <v>1.3540000000000001</v>
      </c>
    </row>
    <row r="23" spans="1:12" x14ac:dyDescent="0.2">
      <c r="A23" s="5"/>
      <c r="B23" s="1"/>
      <c r="C23" s="1"/>
      <c r="D23" s="1"/>
      <c r="E23" s="6"/>
      <c r="H23" s="5"/>
      <c r="I23" s="1"/>
      <c r="J23" s="1"/>
      <c r="K23" s="1"/>
      <c r="L23" s="6"/>
    </row>
    <row r="24" spans="1:12" x14ac:dyDescent="0.2">
      <c r="A24" s="5"/>
      <c r="B24" s="1" t="s">
        <v>255</v>
      </c>
      <c r="C24" s="1" t="s">
        <v>266</v>
      </c>
      <c r="D24" s="1" t="s">
        <v>267</v>
      </c>
      <c r="E24" s="6" t="s">
        <v>268</v>
      </c>
      <c r="H24" s="5"/>
      <c r="I24" s="1" t="s">
        <v>255</v>
      </c>
      <c r="J24" s="1" t="s">
        <v>266</v>
      </c>
      <c r="K24" s="1" t="s">
        <v>267</v>
      </c>
      <c r="L24" s="6" t="s">
        <v>268</v>
      </c>
    </row>
    <row r="25" spans="1:12" x14ac:dyDescent="0.2">
      <c r="A25" s="5" t="s">
        <v>254</v>
      </c>
      <c r="B25" s="1" t="s">
        <v>261</v>
      </c>
      <c r="C25" s="1">
        <v>0.87680000000000002</v>
      </c>
      <c r="D25" s="1" t="s">
        <v>261</v>
      </c>
      <c r="E25" s="6" t="s">
        <v>261</v>
      </c>
      <c r="H25" s="5" t="s">
        <v>254</v>
      </c>
      <c r="I25" s="1" t="s">
        <v>261</v>
      </c>
      <c r="J25" s="1">
        <v>0.89649999999999996</v>
      </c>
      <c r="K25" s="1" t="s">
        <v>261</v>
      </c>
      <c r="L25" s="6" t="s">
        <v>261</v>
      </c>
    </row>
    <row r="26" spans="1:12" x14ac:dyDescent="0.2">
      <c r="A26" s="5" t="s">
        <v>259</v>
      </c>
      <c r="B26" s="1"/>
      <c r="C26" s="1">
        <v>0.4592</v>
      </c>
      <c r="D26" s="1" t="s">
        <v>261</v>
      </c>
      <c r="E26" s="58" t="s">
        <v>261</v>
      </c>
      <c r="H26" s="5" t="s">
        <v>259</v>
      </c>
      <c r="I26" s="1"/>
      <c r="J26" s="1">
        <v>0.37390000000000001</v>
      </c>
      <c r="K26" s="1" t="s">
        <v>261</v>
      </c>
      <c r="L26" s="58" t="s">
        <v>261</v>
      </c>
    </row>
    <row r="27" spans="1:12" x14ac:dyDescent="0.2">
      <c r="A27" s="5"/>
      <c r="B27" s="1"/>
      <c r="C27" s="1"/>
      <c r="D27" s="1"/>
      <c r="E27" s="6"/>
      <c r="H27" s="5"/>
      <c r="I27" s="1"/>
      <c r="J27" s="1"/>
      <c r="K27" s="1"/>
      <c r="L27" s="6"/>
    </row>
    <row r="28" spans="1:12" ht="17" thickBot="1" x14ac:dyDescent="0.25">
      <c r="A28" s="11"/>
      <c r="B28" s="12"/>
      <c r="C28" s="12"/>
      <c r="D28" s="12"/>
      <c r="E28" s="13"/>
      <c r="H28" s="11"/>
      <c r="I28" s="12"/>
      <c r="J28" s="12"/>
      <c r="K28" s="12"/>
      <c r="L28" s="13"/>
    </row>
    <row r="33" spans="3:7" ht="23" x14ac:dyDescent="0.25">
      <c r="C33" s="14" t="s">
        <v>495</v>
      </c>
      <c r="D33" s="14"/>
      <c r="E33" s="14"/>
      <c r="F33" s="14"/>
      <c r="G33" s="1"/>
    </row>
    <row r="34" spans="3:7" ht="23" x14ac:dyDescent="0.25">
      <c r="C34" s="14" t="s">
        <v>496</v>
      </c>
      <c r="D34" s="14"/>
      <c r="E34" s="14"/>
      <c r="F34" s="14"/>
      <c r="G34" s="1"/>
    </row>
    <row r="35" spans="3:7" ht="23" x14ac:dyDescent="0.25">
      <c r="C35" s="14"/>
      <c r="D35" s="14"/>
      <c r="E35" s="14"/>
      <c r="F35" s="14"/>
      <c r="G3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7FB4-8A20-2E47-AFBA-C47B252B70B8}">
  <dimension ref="A1:AD39"/>
  <sheetViews>
    <sheetView workbookViewId="0">
      <selection sqref="A1:AD39"/>
    </sheetView>
  </sheetViews>
  <sheetFormatPr baseColWidth="10" defaultRowHeight="16" x14ac:dyDescent="0.2"/>
  <sheetData>
    <row r="1" spans="1:30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0" x14ac:dyDescent="0.2">
      <c r="A2" s="43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1:3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5" t="s">
        <v>291</v>
      </c>
      <c r="Q3" s="26"/>
      <c r="R3" s="26"/>
      <c r="S3" s="27"/>
      <c r="T3" s="1"/>
      <c r="U3" s="25" t="s">
        <v>252</v>
      </c>
      <c r="V3" s="26"/>
      <c r="W3" s="26"/>
      <c r="X3" s="27"/>
      <c r="Y3" s="1"/>
      <c r="Z3" s="25"/>
      <c r="AA3" s="26"/>
      <c r="AB3" s="26"/>
      <c r="AC3" s="27"/>
      <c r="AD3" s="1"/>
    </row>
    <row r="4" spans="1:30" x14ac:dyDescent="0.2">
      <c r="A4" s="25" t="s">
        <v>246</v>
      </c>
      <c r="B4" s="26"/>
      <c r="C4" s="26"/>
      <c r="D4" s="27"/>
      <c r="E4" s="1"/>
      <c r="F4" s="25" t="s">
        <v>280</v>
      </c>
      <c r="G4" s="26">
        <v>21</v>
      </c>
      <c r="H4" s="26">
        <v>2</v>
      </c>
      <c r="I4" s="27">
        <v>4</v>
      </c>
      <c r="J4" s="1"/>
      <c r="K4" s="25" t="s">
        <v>245</v>
      </c>
      <c r="L4" s="26">
        <v>14</v>
      </c>
      <c r="M4" s="26">
        <v>2</v>
      </c>
      <c r="N4" s="27">
        <v>4</v>
      </c>
      <c r="O4" s="1"/>
      <c r="P4" s="28" t="s">
        <v>245</v>
      </c>
      <c r="Q4" s="1">
        <v>12</v>
      </c>
      <c r="R4" s="1">
        <v>2</v>
      </c>
      <c r="S4" s="29">
        <v>4</v>
      </c>
      <c r="T4" s="1"/>
      <c r="U4" s="28" t="s">
        <v>245</v>
      </c>
      <c r="V4" s="1">
        <v>16</v>
      </c>
      <c r="W4" s="28">
        <v>2</v>
      </c>
      <c r="X4" s="29">
        <v>4</v>
      </c>
      <c r="Y4" s="1"/>
      <c r="Z4" s="28" t="s">
        <v>271</v>
      </c>
      <c r="AA4" s="1"/>
      <c r="AB4" s="1"/>
      <c r="AC4" s="29"/>
      <c r="AD4" s="1"/>
    </row>
    <row r="5" spans="1:30" x14ac:dyDescent="0.2">
      <c r="A5" s="28" t="s">
        <v>245</v>
      </c>
      <c r="B5" s="1">
        <v>8</v>
      </c>
      <c r="C5" s="1">
        <v>4</v>
      </c>
      <c r="D5" s="29">
        <v>4</v>
      </c>
      <c r="E5" s="1"/>
      <c r="F5" s="28" t="s">
        <v>247</v>
      </c>
      <c r="G5" s="7" t="s">
        <v>249</v>
      </c>
      <c r="H5" s="7" t="s">
        <v>270</v>
      </c>
      <c r="I5" s="19" t="s">
        <v>272</v>
      </c>
      <c r="J5" s="1"/>
      <c r="K5" s="28" t="s">
        <v>248</v>
      </c>
      <c r="L5" s="7" t="s">
        <v>249</v>
      </c>
      <c r="M5" s="7" t="s">
        <v>270</v>
      </c>
      <c r="N5" s="19" t="s">
        <v>272</v>
      </c>
      <c r="O5" s="1"/>
      <c r="P5" s="28"/>
      <c r="Q5" s="7" t="s">
        <v>249</v>
      </c>
      <c r="R5" s="7" t="s">
        <v>270</v>
      </c>
      <c r="S5" s="19" t="s">
        <v>272</v>
      </c>
      <c r="T5" s="1"/>
      <c r="U5" s="28"/>
      <c r="V5" s="7" t="s">
        <v>249</v>
      </c>
      <c r="W5" s="7" t="s">
        <v>270</v>
      </c>
      <c r="X5" s="19" t="s">
        <v>272</v>
      </c>
      <c r="Y5" s="1"/>
      <c r="Z5" s="21" t="s">
        <v>245</v>
      </c>
      <c r="AA5" s="1">
        <v>12</v>
      </c>
      <c r="AB5" s="1">
        <v>2</v>
      </c>
      <c r="AC5" s="29">
        <v>4</v>
      </c>
      <c r="AD5" s="1"/>
    </row>
    <row r="6" spans="1:30" x14ac:dyDescent="0.2">
      <c r="A6" s="28"/>
      <c r="B6" s="7" t="s">
        <v>249</v>
      </c>
      <c r="C6" s="7" t="s">
        <v>270</v>
      </c>
      <c r="D6" s="19" t="s">
        <v>272</v>
      </c>
      <c r="E6" s="1"/>
      <c r="F6" s="28"/>
      <c r="G6" s="8">
        <v>12.083</v>
      </c>
      <c r="H6" s="8">
        <v>3.1154999999999999</v>
      </c>
      <c r="I6" s="20">
        <v>14.326000000000001</v>
      </c>
      <c r="J6" s="1"/>
      <c r="K6" s="28"/>
      <c r="L6" s="8">
        <v>12.541</v>
      </c>
      <c r="M6" s="8">
        <v>1.7875000000000001</v>
      </c>
      <c r="N6" s="20">
        <v>11.609</v>
      </c>
      <c r="O6" s="1"/>
      <c r="P6" s="28"/>
      <c r="Q6" s="8">
        <v>21.521000000000001</v>
      </c>
      <c r="R6" s="8">
        <v>3.077</v>
      </c>
      <c r="S6" s="20">
        <v>21.521000000000001</v>
      </c>
      <c r="T6" s="1"/>
      <c r="U6" s="28"/>
      <c r="V6" s="8">
        <v>13.712</v>
      </c>
      <c r="W6" s="8">
        <v>3.3610000000000002</v>
      </c>
      <c r="X6" s="20">
        <v>21.521000000000001</v>
      </c>
      <c r="Y6" s="1"/>
      <c r="Z6" s="28"/>
      <c r="AA6" s="7" t="s">
        <v>249</v>
      </c>
      <c r="AB6" s="7" t="s">
        <v>270</v>
      </c>
      <c r="AC6" s="19" t="s">
        <v>272</v>
      </c>
      <c r="AD6" s="1"/>
    </row>
    <row r="7" spans="1:30" x14ac:dyDescent="0.2">
      <c r="A7" s="28"/>
      <c r="B7" s="8">
        <v>20.432500000000001</v>
      </c>
      <c r="C7" s="8">
        <v>15.239000000000001</v>
      </c>
      <c r="D7" s="20">
        <v>18.158999999999999</v>
      </c>
      <c r="E7" s="1"/>
      <c r="F7" s="28"/>
      <c r="G7" s="8">
        <v>12.541</v>
      </c>
      <c r="H7" s="8">
        <v>6.7229999999999999</v>
      </c>
      <c r="I7" s="20">
        <v>6.5670000000000002</v>
      </c>
      <c r="J7" s="1"/>
      <c r="K7" s="28"/>
      <c r="L7" s="8">
        <v>15.063000000000001</v>
      </c>
      <c r="M7" s="8">
        <v>7.6675000000000004</v>
      </c>
      <c r="N7" s="20">
        <v>11.109</v>
      </c>
      <c r="O7" s="1"/>
      <c r="P7" s="28"/>
      <c r="Q7" s="8">
        <v>14.582000000000001</v>
      </c>
      <c r="R7" s="8">
        <v>4.8220000000000001</v>
      </c>
      <c r="S7" s="20">
        <v>10.8515</v>
      </c>
      <c r="T7" s="1"/>
      <c r="U7" s="28"/>
      <c r="V7" s="8">
        <v>14.688000000000001</v>
      </c>
      <c r="W7" s="8">
        <v>3.871</v>
      </c>
      <c r="X7" s="20">
        <v>12.541</v>
      </c>
      <c r="Y7" s="1"/>
      <c r="Z7" s="28"/>
      <c r="AA7" s="42">
        <v>10.334</v>
      </c>
      <c r="AB7" s="8">
        <v>2.8315000000000001</v>
      </c>
      <c r="AC7" s="20">
        <v>15.7685</v>
      </c>
      <c r="AD7" s="1"/>
    </row>
    <row r="8" spans="1:30" x14ac:dyDescent="0.2">
      <c r="A8" s="28"/>
      <c r="B8" s="8">
        <v>14.3985</v>
      </c>
      <c r="C8" s="8">
        <v>20.258500000000002</v>
      </c>
      <c r="D8" s="20">
        <v>14.695</v>
      </c>
      <c r="E8" s="1"/>
      <c r="F8" s="28"/>
      <c r="G8" s="8">
        <v>12.083</v>
      </c>
      <c r="H8" s="8"/>
      <c r="I8" s="20">
        <v>18.489000000000001</v>
      </c>
      <c r="J8" s="1"/>
      <c r="K8" s="28"/>
      <c r="L8" s="8">
        <v>13.89</v>
      </c>
      <c r="M8" s="8"/>
      <c r="N8" s="20">
        <v>10.454499999999999</v>
      </c>
      <c r="O8" s="1"/>
      <c r="P8" s="28"/>
      <c r="Q8" s="8">
        <v>21.521000000000001</v>
      </c>
      <c r="R8" s="8"/>
      <c r="S8" s="20">
        <v>21.521000000000001</v>
      </c>
      <c r="T8" s="1"/>
      <c r="U8" s="28"/>
      <c r="V8" s="8">
        <v>12.541</v>
      </c>
      <c r="W8" s="8"/>
      <c r="X8" s="20">
        <v>10.352</v>
      </c>
      <c r="Y8" s="1"/>
      <c r="Z8" s="28"/>
      <c r="AA8" s="8">
        <v>11.7865</v>
      </c>
      <c r="AB8" s="8">
        <v>6.1154999999999999</v>
      </c>
      <c r="AC8" s="20">
        <v>10.319000000000001</v>
      </c>
      <c r="AD8" s="1"/>
    </row>
    <row r="9" spans="1:30" x14ac:dyDescent="0.2">
      <c r="A9" s="28"/>
      <c r="B9" s="8">
        <v>21.521000000000001</v>
      </c>
      <c r="C9" s="8">
        <v>15.486000000000001</v>
      </c>
      <c r="D9" s="20">
        <v>21.521000000000001</v>
      </c>
      <c r="E9" s="1"/>
      <c r="F9" s="28"/>
      <c r="G9" s="8">
        <v>13.016999999999999</v>
      </c>
      <c r="H9" s="8"/>
      <c r="I9" s="20">
        <v>7.4675000000000002</v>
      </c>
      <c r="J9" s="1"/>
      <c r="K9" s="28"/>
      <c r="L9" s="8">
        <v>21.521000000000001</v>
      </c>
      <c r="M9" s="8"/>
      <c r="N9" s="20">
        <v>12.667</v>
      </c>
      <c r="O9" s="1"/>
      <c r="P9" s="28"/>
      <c r="Q9" s="8">
        <v>21.521000000000001</v>
      </c>
      <c r="R9" s="8"/>
      <c r="S9" s="20">
        <v>10.8515</v>
      </c>
      <c r="T9" s="1"/>
      <c r="U9" s="28"/>
      <c r="V9" s="8">
        <v>14.137</v>
      </c>
      <c r="W9" s="8"/>
      <c r="X9" s="20">
        <v>8.7904999999999998</v>
      </c>
      <c r="Y9" s="1"/>
      <c r="Z9" s="28"/>
      <c r="AA9" s="8">
        <v>15.861000000000001</v>
      </c>
      <c r="AB9" s="8"/>
      <c r="AC9" s="20">
        <v>9.7554999999999996</v>
      </c>
      <c r="AD9" s="1"/>
    </row>
    <row r="10" spans="1:30" x14ac:dyDescent="0.2">
      <c r="A10" s="28"/>
      <c r="B10" s="8">
        <v>19.178000000000001</v>
      </c>
      <c r="C10" s="8">
        <v>21.521000000000001</v>
      </c>
      <c r="D10" s="20">
        <v>13.986000000000001</v>
      </c>
      <c r="E10" s="1"/>
      <c r="F10" s="28"/>
      <c r="G10" s="8">
        <v>15.343500000000001</v>
      </c>
      <c r="H10" s="8"/>
      <c r="I10" s="20"/>
      <c r="J10" s="1"/>
      <c r="K10" s="28"/>
      <c r="L10" s="8">
        <v>21.521000000000001</v>
      </c>
      <c r="M10" s="8"/>
      <c r="N10" s="20"/>
      <c r="O10" s="1"/>
      <c r="P10" s="28"/>
      <c r="Q10" s="8">
        <v>10.454499999999999</v>
      </c>
      <c r="R10" s="8"/>
      <c r="S10" s="20"/>
      <c r="T10" s="1"/>
      <c r="U10" s="28"/>
      <c r="V10" s="8">
        <v>21.521000000000001</v>
      </c>
      <c r="W10" s="8"/>
      <c r="X10" s="20"/>
      <c r="Y10" s="1"/>
      <c r="Z10" s="28"/>
      <c r="AA10" s="8">
        <v>19.178000000000001</v>
      </c>
      <c r="AB10" s="8"/>
      <c r="AC10" s="20">
        <v>12.896000000000001</v>
      </c>
      <c r="AD10" s="1"/>
    </row>
    <row r="11" spans="1:30" x14ac:dyDescent="0.2">
      <c r="A11" s="28"/>
      <c r="B11" s="8">
        <v>21.521000000000001</v>
      </c>
      <c r="C11" s="8"/>
      <c r="D11" s="20"/>
      <c r="E11" s="1"/>
      <c r="F11" s="28"/>
      <c r="G11" s="35">
        <v>8.51</v>
      </c>
      <c r="H11" s="8"/>
      <c r="I11" s="20"/>
      <c r="J11" s="1"/>
      <c r="K11" s="28"/>
      <c r="L11" s="8">
        <v>21.521000000000001</v>
      </c>
      <c r="M11" s="8"/>
      <c r="N11" s="20"/>
      <c r="O11" s="1"/>
      <c r="P11" s="28"/>
      <c r="Q11" s="8">
        <v>16.835000000000001</v>
      </c>
      <c r="R11" s="8"/>
      <c r="S11" s="20"/>
      <c r="T11" s="1"/>
      <c r="U11" s="28"/>
      <c r="V11" s="8">
        <v>17.404</v>
      </c>
      <c r="W11" s="8"/>
      <c r="X11" s="20"/>
      <c r="Y11" s="1"/>
      <c r="Z11" s="28"/>
      <c r="AA11" s="8">
        <v>17.030999999999999</v>
      </c>
      <c r="AB11" s="8"/>
      <c r="AC11" s="20"/>
      <c r="AD11" s="1"/>
    </row>
    <row r="12" spans="1:30" x14ac:dyDescent="0.2">
      <c r="A12" s="28"/>
      <c r="B12" s="8">
        <v>21.521000000000001</v>
      </c>
      <c r="C12" s="8"/>
      <c r="D12" s="20"/>
      <c r="E12" s="1"/>
      <c r="F12" s="28"/>
      <c r="G12" s="8">
        <v>21.521000000000001</v>
      </c>
      <c r="H12" s="8"/>
      <c r="I12" s="20"/>
      <c r="J12" s="1"/>
      <c r="K12" s="28"/>
      <c r="L12" s="8">
        <v>21.521000000000001</v>
      </c>
      <c r="M12" s="8"/>
      <c r="N12" s="20"/>
      <c r="O12" s="1"/>
      <c r="P12" s="28"/>
      <c r="Q12" s="8">
        <v>21.521000000000001</v>
      </c>
      <c r="R12" s="8"/>
      <c r="S12" s="20"/>
      <c r="T12" s="1"/>
      <c r="U12" s="28"/>
      <c r="V12" s="8">
        <v>20.258500000000002</v>
      </c>
      <c r="W12" s="8"/>
      <c r="X12" s="20"/>
      <c r="Y12" s="1"/>
      <c r="Z12" s="28"/>
      <c r="AA12" s="42">
        <v>8.3680000000000003</v>
      </c>
      <c r="AB12" s="8"/>
      <c r="AC12" s="20"/>
      <c r="AD12" s="1"/>
    </row>
    <row r="13" spans="1:30" x14ac:dyDescent="0.2">
      <c r="A13" s="28"/>
      <c r="B13" s="8">
        <v>21.521000000000001</v>
      </c>
      <c r="C13" s="8"/>
      <c r="D13" s="20"/>
      <c r="E13" s="1"/>
      <c r="F13" s="28"/>
      <c r="G13" s="8">
        <v>21.521000000000001</v>
      </c>
      <c r="H13" s="8"/>
      <c r="I13" s="20"/>
      <c r="J13" s="1"/>
      <c r="K13" s="28"/>
      <c r="L13" s="8">
        <v>21.521000000000001</v>
      </c>
      <c r="M13" s="8"/>
      <c r="N13" s="20"/>
      <c r="O13" s="1"/>
      <c r="P13" s="28"/>
      <c r="Q13" s="8">
        <v>21.521000000000001</v>
      </c>
      <c r="R13" s="8"/>
      <c r="S13" s="20"/>
      <c r="T13" s="1"/>
      <c r="U13" s="28"/>
      <c r="V13" s="8">
        <v>16.566500000000001</v>
      </c>
      <c r="W13" s="8"/>
      <c r="X13" s="20"/>
      <c r="Y13" s="1"/>
      <c r="Z13" s="28"/>
      <c r="AA13" s="8">
        <v>20.050999999999998</v>
      </c>
      <c r="AB13" s="8"/>
      <c r="AC13" s="20"/>
      <c r="AD13" s="1"/>
    </row>
    <row r="14" spans="1:30" x14ac:dyDescent="0.2">
      <c r="A14" s="28"/>
      <c r="B14" s="8">
        <v>21.521000000000001</v>
      </c>
      <c r="C14" s="8"/>
      <c r="D14" s="20"/>
      <c r="E14" s="1"/>
      <c r="F14" s="28"/>
      <c r="G14" s="8">
        <v>10.3635</v>
      </c>
      <c r="H14" s="8"/>
      <c r="I14" s="20"/>
      <c r="J14" s="1"/>
      <c r="K14" s="28"/>
      <c r="L14" s="8">
        <v>21.521000000000001</v>
      </c>
      <c r="M14" s="8"/>
      <c r="N14" s="20"/>
      <c r="O14" s="1"/>
      <c r="P14" s="28"/>
      <c r="Q14" s="8">
        <v>19.553000000000001</v>
      </c>
      <c r="R14" s="8"/>
      <c r="S14" s="20"/>
      <c r="T14" s="1"/>
      <c r="U14" s="28"/>
      <c r="V14" s="8">
        <v>21.521000000000001</v>
      </c>
      <c r="W14" s="8"/>
      <c r="X14" s="20"/>
      <c r="Y14" s="1"/>
      <c r="Z14" s="28"/>
      <c r="AA14" s="8">
        <v>20.258500000000002</v>
      </c>
      <c r="AB14" s="8"/>
      <c r="AC14" s="20"/>
      <c r="AD14" s="1"/>
    </row>
    <row r="15" spans="1:30" x14ac:dyDescent="0.2">
      <c r="A15" s="28"/>
      <c r="B15" s="8"/>
      <c r="C15" s="8"/>
      <c r="D15" s="20"/>
      <c r="E15" s="1"/>
      <c r="F15" s="28"/>
      <c r="G15" s="8">
        <v>16.835000000000001</v>
      </c>
      <c r="H15" s="8"/>
      <c r="I15" s="20"/>
      <c r="J15" s="1"/>
      <c r="K15" s="28"/>
      <c r="L15" s="8">
        <v>17.311499999999999</v>
      </c>
      <c r="M15" s="8"/>
      <c r="N15" s="20"/>
      <c r="O15" s="1"/>
      <c r="P15" s="28"/>
      <c r="Q15" s="8">
        <v>15.486000000000001</v>
      </c>
      <c r="R15" s="8"/>
      <c r="S15" s="20"/>
      <c r="T15" s="1"/>
      <c r="U15" s="28"/>
      <c r="V15" s="8">
        <v>21.521000000000001</v>
      </c>
      <c r="W15" s="8"/>
      <c r="X15" s="20"/>
      <c r="Y15" s="1"/>
      <c r="Z15" s="28"/>
      <c r="AA15" s="8">
        <v>23.626999999999999</v>
      </c>
      <c r="AB15" s="8"/>
      <c r="AC15" s="20"/>
      <c r="AD15" s="1"/>
    </row>
    <row r="16" spans="1:30" x14ac:dyDescent="0.2">
      <c r="A16" s="28"/>
      <c r="B16" s="8"/>
      <c r="C16" s="8"/>
      <c r="D16" s="20"/>
      <c r="E16" s="1"/>
      <c r="F16" s="28"/>
      <c r="G16" s="8">
        <v>18.798999999999999</v>
      </c>
      <c r="H16" s="8"/>
      <c r="I16" s="20"/>
      <c r="J16" s="1"/>
      <c r="K16" s="28"/>
      <c r="L16" s="8">
        <v>19.553000000000001</v>
      </c>
      <c r="M16" s="8"/>
      <c r="N16" s="20"/>
      <c r="O16" s="1"/>
      <c r="P16" s="28"/>
      <c r="Q16" s="36">
        <f>AVERAGE(18.159,18.159)</f>
        <v>18.158999999999999</v>
      </c>
      <c r="R16" s="8"/>
      <c r="S16" s="20"/>
      <c r="T16" s="1"/>
      <c r="U16" s="28"/>
      <c r="V16" s="8">
        <v>17.155000000000001</v>
      </c>
      <c r="W16" s="8"/>
      <c r="X16" s="20"/>
      <c r="Y16" s="1"/>
      <c r="Z16" s="28"/>
      <c r="AA16" s="8">
        <v>22.486999999999998</v>
      </c>
      <c r="AB16" s="8"/>
      <c r="AC16" s="20"/>
      <c r="AD16" s="1"/>
    </row>
    <row r="17" spans="1:30" x14ac:dyDescent="0.2">
      <c r="A17" s="28"/>
      <c r="B17" s="8"/>
      <c r="C17" s="8"/>
      <c r="D17" s="20"/>
      <c r="E17" s="1"/>
      <c r="F17" s="28"/>
      <c r="G17" s="8">
        <v>26.175000000000001</v>
      </c>
      <c r="H17" s="8"/>
      <c r="I17" s="20"/>
      <c r="J17" s="1"/>
      <c r="K17" s="28"/>
      <c r="L17" s="8">
        <v>17.311499999999999</v>
      </c>
      <c r="M17" s="8"/>
      <c r="N17" s="20"/>
      <c r="O17" s="1"/>
      <c r="P17" s="28"/>
      <c r="Q17" s="36">
        <f>AVERAGE(18.996,21.521)</f>
        <v>20.258499999999998</v>
      </c>
      <c r="R17" s="8"/>
      <c r="S17" s="20"/>
      <c r="T17" s="1"/>
      <c r="U17" s="28"/>
      <c r="V17" s="8">
        <v>19.713000000000001</v>
      </c>
      <c r="W17" s="8"/>
      <c r="X17" s="20"/>
      <c r="Y17" s="1"/>
      <c r="Z17" s="28"/>
      <c r="AA17" s="8">
        <v>10.57385</v>
      </c>
      <c r="AB17" s="8"/>
      <c r="AC17" s="20"/>
      <c r="AD17" s="1"/>
    </row>
    <row r="18" spans="1:30" x14ac:dyDescent="0.2">
      <c r="A18" s="28"/>
      <c r="B18" s="1"/>
      <c r="C18" s="1"/>
      <c r="D18" s="29"/>
      <c r="E18" s="1"/>
      <c r="F18" s="28"/>
      <c r="G18" s="8">
        <v>12.42625</v>
      </c>
      <c r="H18" s="1"/>
      <c r="I18" s="29"/>
      <c r="J18" s="1"/>
      <c r="K18" s="28"/>
      <c r="L18" s="8">
        <v>18.387</v>
      </c>
      <c r="M18" s="8"/>
      <c r="N18" s="20"/>
      <c r="O18" s="1"/>
      <c r="P18" s="28"/>
      <c r="Q18" s="1"/>
      <c r="R18" s="1"/>
      <c r="S18" s="29"/>
      <c r="T18" s="1"/>
      <c r="U18" s="28"/>
      <c r="V18" s="8">
        <v>15.10005</v>
      </c>
      <c r="W18" s="8"/>
      <c r="X18" s="20"/>
      <c r="Y18" s="1"/>
      <c r="Z18" s="28"/>
      <c r="AA18" s="8">
        <v>11.379250000000001</v>
      </c>
      <c r="AB18" s="8"/>
      <c r="AC18" s="20"/>
      <c r="AD18" s="1"/>
    </row>
    <row r="19" spans="1:30" x14ac:dyDescent="0.2">
      <c r="A19" s="28"/>
      <c r="B19" s="1"/>
      <c r="C19" s="1"/>
      <c r="D19" s="29"/>
      <c r="E19" s="1"/>
      <c r="F19" s="41"/>
      <c r="G19" s="8">
        <v>13.6455</v>
      </c>
      <c r="H19" s="7"/>
      <c r="I19" s="19"/>
      <c r="J19" s="1"/>
      <c r="K19" s="28"/>
      <c r="L19" s="8">
        <v>19.553000000000001</v>
      </c>
      <c r="M19" s="8"/>
      <c r="N19" s="20"/>
      <c r="O19" s="1"/>
      <c r="P19" s="28"/>
      <c r="Q19" s="1"/>
      <c r="R19" s="1"/>
      <c r="S19" s="29"/>
      <c r="T19" s="1"/>
      <c r="U19" s="28"/>
      <c r="V19" s="8">
        <v>14.793950000000001</v>
      </c>
      <c r="W19" s="8"/>
      <c r="X19" s="20"/>
      <c r="Y19" s="1"/>
      <c r="Z19" s="28"/>
      <c r="AA19" s="8">
        <v>18.97325</v>
      </c>
      <c r="AB19" s="8"/>
      <c r="AC19" s="20"/>
      <c r="AD19" s="1"/>
    </row>
    <row r="20" spans="1:30" x14ac:dyDescent="0.2">
      <c r="A20" s="28"/>
      <c r="B20" s="7"/>
      <c r="C20" s="7"/>
      <c r="D20" s="19"/>
      <c r="E20" s="1"/>
      <c r="F20" s="21"/>
      <c r="G20" s="8">
        <v>12.42625</v>
      </c>
      <c r="H20" s="8"/>
      <c r="I20" s="20"/>
      <c r="J20" s="1"/>
      <c r="K20" s="28"/>
      <c r="L20" s="8"/>
      <c r="M20" s="8"/>
      <c r="N20" s="20"/>
      <c r="O20" s="1"/>
      <c r="P20" s="21" t="s">
        <v>9</v>
      </c>
      <c r="Q20" s="8">
        <v>18.579999999999998</v>
      </c>
      <c r="R20" s="8">
        <v>3.95</v>
      </c>
      <c r="S20" s="20">
        <v>16.190000000000001</v>
      </c>
      <c r="T20" s="1"/>
      <c r="U20" s="28"/>
      <c r="V20" s="8">
        <v>13.6455</v>
      </c>
      <c r="W20" s="8"/>
      <c r="X20" s="20"/>
      <c r="Y20" s="1"/>
      <c r="Z20" s="28"/>
      <c r="AA20" s="8">
        <v>21.863350000000001</v>
      </c>
      <c r="AB20" s="8"/>
      <c r="AC20" s="20"/>
      <c r="AD20" s="1"/>
    </row>
    <row r="21" spans="1:30" x14ac:dyDescent="0.2">
      <c r="A21" s="21"/>
      <c r="B21" s="8"/>
      <c r="C21" s="8"/>
      <c r="D21" s="20"/>
      <c r="E21" s="1"/>
      <c r="F21" s="21"/>
      <c r="G21" s="8">
        <v>16.561150000000001</v>
      </c>
      <c r="H21" s="8"/>
      <c r="I21" s="20"/>
      <c r="J21" s="1"/>
      <c r="K21" s="28"/>
      <c r="L21" s="8"/>
      <c r="M21" s="8"/>
      <c r="N21" s="20"/>
      <c r="O21" s="1"/>
      <c r="P21" s="21" t="s">
        <v>10</v>
      </c>
      <c r="Q21" s="8">
        <v>3.5910000000000002</v>
      </c>
      <c r="R21" s="8">
        <v>1.234</v>
      </c>
      <c r="S21" s="20">
        <v>6.16</v>
      </c>
      <c r="T21" s="1"/>
      <c r="U21" s="28"/>
      <c r="V21" s="8">
        <v>13.486700000000001</v>
      </c>
      <c r="W21" s="8"/>
      <c r="X21" s="20"/>
      <c r="Y21" s="1"/>
      <c r="Z21" s="28"/>
      <c r="AA21" s="8"/>
      <c r="AB21" s="8"/>
      <c r="AC21" s="20"/>
      <c r="AD21" s="1"/>
    </row>
    <row r="22" spans="1:30" x14ac:dyDescent="0.2">
      <c r="A22" s="21" t="s">
        <v>9</v>
      </c>
      <c r="B22" s="8">
        <v>20.2</v>
      </c>
      <c r="C22" s="8">
        <v>18.13</v>
      </c>
      <c r="D22" s="20">
        <v>17.09</v>
      </c>
      <c r="E22" s="1"/>
      <c r="F22" s="21"/>
      <c r="G22" s="8">
        <v>24.107500000000002</v>
      </c>
      <c r="H22" s="8"/>
      <c r="I22" s="20"/>
      <c r="J22" s="1"/>
      <c r="K22" s="28"/>
      <c r="L22" s="1"/>
      <c r="M22" s="1"/>
      <c r="N22" s="29"/>
      <c r="O22" s="1"/>
      <c r="P22" s="21" t="s">
        <v>11</v>
      </c>
      <c r="Q22" s="8">
        <v>1.0369999999999999</v>
      </c>
      <c r="R22" s="8">
        <v>0.87250000000000005</v>
      </c>
      <c r="S22" s="20">
        <v>3.08</v>
      </c>
      <c r="T22" s="1"/>
      <c r="U22" s="28"/>
      <c r="V22" s="1"/>
      <c r="W22" s="1"/>
      <c r="X22" s="29"/>
      <c r="Y22" s="1"/>
      <c r="Z22" s="28"/>
      <c r="AA22" s="8"/>
      <c r="AB22" s="8"/>
      <c r="AC22" s="20"/>
      <c r="AD22" s="1"/>
    </row>
    <row r="23" spans="1:30" x14ac:dyDescent="0.2">
      <c r="A23" s="21" t="s">
        <v>10</v>
      </c>
      <c r="B23" s="8">
        <v>2.492</v>
      </c>
      <c r="C23" s="8">
        <v>3.234</v>
      </c>
      <c r="D23" s="20">
        <v>3.4710000000000001</v>
      </c>
      <c r="E23" s="1"/>
      <c r="F23" s="21"/>
      <c r="G23" s="8">
        <v>12.724500000000001</v>
      </c>
      <c r="H23" s="8"/>
      <c r="I23" s="20"/>
      <c r="J23" s="1"/>
      <c r="K23" s="21" t="s">
        <v>9</v>
      </c>
      <c r="L23" s="8">
        <v>18.77</v>
      </c>
      <c r="M23" s="8">
        <v>4.7279999999999998</v>
      </c>
      <c r="N23" s="20">
        <v>11.46</v>
      </c>
      <c r="O23" s="1"/>
      <c r="P23" s="21"/>
      <c r="Q23" s="8"/>
      <c r="R23" s="8"/>
      <c r="S23" s="20"/>
      <c r="T23" s="1"/>
      <c r="U23" s="41"/>
      <c r="V23" s="7"/>
      <c r="W23" s="7"/>
      <c r="X23" s="19"/>
      <c r="Y23" s="1"/>
      <c r="Z23" s="28"/>
      <c r="AA23" s="1"/>
      <c r="AB23" s="1"/>
      <c r="AC23" s="29"/>
      <c r="AD23" s="1"/>
    </row>
    <row r="24" spans="1:30" x14ac:dyDescent="0.2">
      <c r="A24" s="21" t="s">
        <v>11</v>
      </c>
      <c r="B24" s="8">
        <v>0.88119999999999998</v>
      </c>
      <c r="C24" s="8">
        <v>1.617</v>
      </c>
      <c r="D24" s="20">
        <v>1.736</v>
      </c>
      <c r="E24" s="1"/>
      <c r="F24" s="21"/>
      <c r="G24" s="8">
        <v>28.765000000000001</v>
      </c>
      <c r="H24" s="8"/>
      <c r="I24" s="20"/>
      <c r="J24" s="1"/>
      <c r="K24" s="21" t="s">
        <v>10</v>
      </c>
      <c r="L24" s="8">
        <v>3.13</v>
      </c>
      <c r="M24" s="8">
        <v>4.1580000000000004</v>
      </c>
      <c r="N24" s="20">
        <v>0.93330000000000002</v>
      </c>
      <c r="O24" s="1"/>
      <c r="P24" s="28"/>
      <c r="Q24" s="1" t="s">
        <v>255</v>
      </c>
      <c r="R24" s="1" t="s">
        <v>273</v>
      </c>
      <c r="S24" s="29" t="s">
        <v>274</v>
      </c>
      <c r="T24" s="1"/>
      <c r="U24" s="21" t="s">
        <v>9</v>
      </c>
      <c r="V24" s="8">
        <v>16.739999999999998</v>
      </c>
      <c r="W24" s="8">
        <v>3.6160000000000001</v>
      </c>
      <c r="X24" s="20">
        <v>13.3</v>
      </c>
      <c r="Y24" s="1"/>
      <c r="Z24" s="21" t="s">
        <v>9</v>
      </c>
      <c r="AA24" s="8">
        <v>17.760000000000002</v>
      </c>
      <c r="AB24" s="8">
        <v>4.4740000000000002</v>
      </c>
      <c r="AC24" s="20">
        <v>12.18</v>
      </c>
      <c r="AD24" s="1"/>
    </row>
    <row r="25" spans="1:30" x14ac:dyDescent="0.2">
      <c r="A25" s="28"/>
      <c r="B25" s="1"/>
      <c r="C25" s="1"/>
      <c r="D25" s="29"/>
      <c r="E25" s="1"/>
      <c r="F25" s="21"/>
      <c r="G25" s="8">
        <v>20.556000000000001</v>
      </c>
      <c r="H25" s="8"/>
      <c r="I25" s="20"/>
      <c r="J25" s="1"/>
      <c r="K25" s="21" t="s">
        <v>11</v>
      </c>
      <c r="L25" s="8">
        <v>0.83660000000000001</v>
      </c>
      <c r="M25" s="8">
        <v>2.94</v>
      </c>
      <c r="N25" s="20">
        <v>0.4667</v>
      </c>
      <c r="O25" s="1"/>
      <c r="P25" s="28" t="s">
        <v>254</v>
      </c>
      <c r="Q25" s="1" t="s">
        <v>281</v>
      </c>
      <c r="R25" s="1" t="s">
        <v>284</v>
      </c>
      <c r="S25" s="29" t="s">
        <v>285</v>
      </c>
      <c r="T25" s="1"/>
      <c r="U25" s="21" t="s">
        <v>10</v>
      </c>
      <c r="V25" s="8">
        <v>3.2130000000000001</v>
      </c>
      <c r="W25" s="8">
        <v>0.36059999999999998</v>
      </c>
      <c r="X25" s="20">
        <v>5.6920000000000002</v>
      </c>
      <c r="Y25" s="1"/>
      <c r="Z25" s="21" t="s">
        <v>10</v>
      </c>
      <c r="AA25" s="8">
        <v>4.4800000000000004</v>
      </c>
      <c r="AB25" s="8">
        <v>2.3220000000000001</v>
      </c>
      <c r="AC25" s="20">
        <v>2.7530000000000001</v>
      </c>
      <c r="AD25" s="1"/>
    </row>
    <row r="26" spans="1:30" x14ac:dyDescent="0.2">
      <c r="A26" s="28"/>
      <c r="B26" s="1" t="s">
        <v>255</v>
      </c>
      <c r="C26" s="1" t="s">
        <v>273</v>
      </c>
      <c r="D26" s="29" t="s">
        <v>274</v>
      </c>
      <c r="E26" s="1"/>
      <c r="F26" s="21"/>
      <c r="G26" s="8">
        <v>24.639500000000002</v>
      </c>
      <c r="H26" s="8"/>
      <c r="I26" s="20"/>
      <c r="J26" s="1"/>
      <c r="K26" s="28"/>
      <c r="L26" s="1"/>
      <c r="M26" s="1"/>
      <c r="N26" s="29"/>
      <c r="O26" s="1"/>
      <c r="P26" s="30" t="s">
        <v>259</v>
      </c>
      <c r="Q26" s="31"/>
      <c r="R26" s="31" t="s">
        <v>282</v>
      </c>
      <c r="S26" s="23" t="s">
        <v>283</v>
      </c>
      <c r="T26" s="1"/>
      <c r="U26" s="21" t="s">
        <v>11</v>
      </c>
      <c r="V26" s="8">
        <v>0.80330000000000001</v>
      </c>
      <c r="W26" s="8">
        <v>0.255</v>
      </c>
      <c r="X26" s="20">
        <v>2.8460000000000001</v>
      </c>
      <c r="Y26" s="1"/>
      <c r="Z26" s="21" t="s">
        <v>11</v>
      </c>
      <c r="AA26" s="8">
        <v>1.2929999999999999</v>
      </c>
      <c r="AB26" s="8">
        <v>1.6419999999999999</v>
      </c>
      <c r="AC26" s="20">
        <v>1.3759999999999999</v>
      </c>
      <c r="AD26" s="1"/>
    </row>
    <row r="27" spans="1:30" x14ac:dyDescent="0.2">
      <c r="A27" s="28" t="s">
        <v>254</v>
      </c>
      <c r="B27" s="1">
        <v>0.22070000000000001</v>
      </c>
      <c r="C27" s="8">
        <v>0.49630000000000002</v>
      </c>
      <c r="D27" s="20">
        <v>0.87190000000000001</v>
      </c>
      <c r="E27" s="1"/>
      <c r="F27" s="21"/>
      <c r="G27" s="8">
        <v>23.103999999999999</v>
      </c>
      <c r="H27" s="8"/>
      <c r="I27" s="20"/>
      <c r="J27" s="1"/>
      <c r="K27" s="28"/>
      <c r="L27" s="1" t="s">
        <v>255</v>
      </c>
      <c r="M27" s="1" t="s">
        <v>273</v>
      </c>
      <c r="N27" s="29" t="s">
        <v>274</v>
      </c>
      <c r="O27" s="1"/>
      <c r="P27" s="34"/>
      <c r="Q27" s="8"/>
      <c r="R27" s="8"/>
      <c r="S27" s="8"/>
      <c r="T27" s="1"/>
      <c r="U27" s="21"/>
      <c r="V27" s="8"/>
      <c r="W27" s="8"/>
      <c r="X27" s="20"/>
      <c r="Y27" s="1"/>
      <c r="Z27" s="21"/>
      <c r="AA27" s="8"/>
      <c r="AB27" s="8"/>
      <c r="AC27" s="20"/>
      <c r="AD27" s="1"/>
    </row>
    <row r="28" spans="1:30" x14ac:dyDescent="0.2">
      <c r="A28" s="28" t="s">
        <v>259</v>
      </c>
      <c r="B28" s="1"/>
      <c r="C28" s="1">
        <v>0.26690000000000003</v>
      </c>
      <c r="D28" s="29">
        <v>0.62450000000000006</v>
      </c>
      <c r="E28" s="1"/>
      <c r="F28" s="28"/>
      <c r="G28" s="8"/>
      <c r="H28" s="8"/>
      <c r="I28" s="20"/>
      <c r="J28" s="1"/>
      <c r="K28" s="28" t="s">
        <v>254</v>
      </c>
      <c r="L28" s="1" t="s">
        <v>261</v>
      </c>
      <c r="M28" s="1" t="s">
        <v>261</v>
      </c>
      <c r="N28" s="29" t="s">
        <v>278</v>
      </c>
      <c r="O28" s="1"/>
      <c r="P28" s="34"/>
      <c r="Q28" s="8"/>
      <c r="R28" s="8"/>
      <c r="S28" s="8"/>
      <c r="T28" s="1"/>
      <c r="U28" s="21"/>
      <c r="V28" s="8"/>
      <c r="W28" s="8"/>
      <c r="X28" s="20"/>
      <c r="Y28" s="1"/>
      <c r="Z28" s="28"/>
      <c r="AA28" s="1" t="s">
        <v>255</v>
      </c>
      <c r="AB28" s="1" t="s">
        <v>273</v>
      </c>
      <c r="AC28" s="29" t="s">
        <v>274</v>
      </c>
      <c r="AD28" s="1"/>
    </row>
    <row r="29" spans="1:30" x14ac:dyDescent="0.2">
      <c r="A29" s="30"/>
      <c r="B29" s="31"/>
      <c r="C29" s="31"/>
      <c r="D29" s="32"/>
      <c r="E29" s="1"/>
      <c r="F29" s="21" t="s">
        <v>9</v>
      </c>
      <c r="G29" s="8">
        <v>17.579999999999998</v>
      </c>
      <c r="H29" s="8">
        <v>4.9189999999999996</v>
      </c>
      <c r="I29" s="20">
        <v>11.71</v>
      </c>
      <c r="J29" s="1"/>
      <c r="K29" s="30" t="s">
        <v>259</v>
      </c>
      <c r="L29" s="31"/>
      <c r="M29" s="31" t="s">
        <v>261</v>
      </c>
      <c r="N29" s="23" t="s">
        <v>279</v>
      </c>
      <c r="O29" s="1"/>
      <c r="P29" s="34"/>
      <c r="Q29" s="8"/>
      <c r="R29" s="8"/>
      <c r="S29" s="8"/>
      <c r="T29" s="1"/>
      <c r="U29" s="28"/>
      <c r="V29" s="1" t="s">
        <v>255</v>
      </c>
      <c r="W29" s="1" t="s">
        <v>273</v>
      </c>
      <c r="X29" s="29" t="s">
        <v>274</v>
      </c>
      <c r="Y29" s="1"/>
      <c r="Z29" s="28" t="s">
        <v>254</v>
      </c>
      <c r="AA29" s="1" t="s">
        <v>284</v>
      </c>
      <c r="AB29" s="1" t="s">
        <v>326</v>
      </c>
      <c r="AC29" s="48">
        <v>0.1062</v>
      </c>
      <c r="AD29" s="1"/>
    </row>
    <row r="30" spans="1:30" x14ac:dyDescent="0.2">
      <c r="A30" s="1"/>
      <c r="B30" s="1"/>
      <c r="C30" s="1"/>
      <c r="D30" s="1"/>
      <c r="E30" s="1"/>
      <c r="F30" s="21" t="s">
        <v>10</v>
      </c>
      <c r="G30" s="8">
        <v>5.5720000000000001</v>
      </c>
      <c r="H30" s="8">
        <v>2.5510000000000002</v>
      </c>
      <c r="I30" s="20">
        <v>5.6929999999999996</v>
      </c>
      <c r="J30" s="1"/>
      <c r="K30" s="1"/>
      <c r="L30" s="1"/>
      <c r="M30" s="1"/>
      <c r="N30" s="1"/>
      <c r="O30" s="34"/>
      <c r="P30" s="8"/>
      <c r="Q30" s="8"/>
      <c r="R30" s="8"/>
      <c r="S30" s="1"/>
      <c r="T30" s="34"/>
      <c r="U30" s="28" t="s">
        <v>254</v>
      </c>
      <c r="V30" s="1" t="s">
        <v>286</v>
      </c>
      <c r="W30" s="1" t="s">
        <v>282</v>
      </c>
      <c r="X30" s="29" t="s">
        <v>287</v>
      </c>
      <c r="Y30" s="34"/>
      <c r="Z30" s="30" t="s">
        <v>259</v>
      </c>
      <c r="AA30" s="31"/>
      <c r="AB30" s="31" t="s">
        <v>290</v>
      </c>
      <c r="AC30" s="23" t="s">
        <v>325</v>
      </c>
      <c r="AD30" s="34"/>
    </row>
    <row r="31" spans="1:30" x14ac:dyDescent="0.2">
      <c r="A31" s="1"/>
      <c r="B31" s="1"/>
      <c r="C31" s="1"/>
      <c r="D31" s="1"/>
      <c r="E31" s="1"/>
      <c r="F31" s="21" t="s">
        <v>11</v>
      </c>
      <c r="G31" s="8">
        <v>1.216</v>
      </c>
      <c r="H31" s="8">
        <v>1.804</v>
      </c>
      <c r="I31" s="20">
        <v>2.847</v>
      </c>
      <c r="J31" s="1"/>
      <c r="K31" s="1"/>
      <c r="L31" s="1"/>
      <c r="M31" s="1"/>
      <c r="N31" s="1"/>
      <c r="O31" s="1"/>
      <c r="P31" s="1"/>
      <c r="Q31" s="34"/>
      <c r="R31" s="8"/>
      <c r="S31" s="8"/>
      <c r="T31" s="8"/>
      <c r="U31" s="30" t="s">
        <v>259</v>
      </c>
      <c r="V31" s="31"/>
      <c r="W31" s="31" t="s">
        <v>288</v>
      </c>
      <c r="X31" s="23" t="s">
        <v>289</v>
      </c>
      <c r="Y31" s="1"/>
      <c r="Z31" s="1"/>
      <c r="AA31" s="34"/>
      <c r="AB31" s="8"/>
      <c r="AC31" s="8"/>
      <c r="AD31" s="8"/>
    </row>
    <row r="32" spans="1:30" x14ac:dyDescent="0.2">
      <c r="A32" s="1"/>
      <c r="B32" s="1"/>
      <c r="C32" s="1"/>
      <c r="D32" s="1"/>
      <c r="E32" s="1"/>
      <c r="F32" s="28"/>
      <c r="G32" s="1"/>
      <c r="H32" s="1"/>
      <c r="I32" s="29"/>
      <c r="J32" s="1"/>
      <c r="K32" s="1"/>
      <c r="L32" s="1"/>
      <c r="M32" s="1"/>
      <c r="N32" s="1"/>
      <c r="O32" s="1"/>
      <c r="P32" s="1"/>
      <c r="Q32" s="34"/>
      <c r="R32" s="8"/>
      <c r="S32" s="8"/>
      <c r="T32" s="8"/>
      <c r="U32" s="1"/>
      <c r="V32" s="1"/>
      <c r="W32" s="1"/>
      <c r="X32" s="1"/>
      <c r="Y32" s="1"/>
      <c r="Z32" s="1"/>
      <c r="AA32" s="34"/>
      <c r="AB32" s="8"/>
      <c r="AC32" s="8"/>
      <c r="AD32" s="8"/>
    </row>
    <row r="33" spans="1:30" x14ac:dyDescent="0.2">
      <c r="A33" s="1"/>
      <c r="B33" s="1"/>
      <c r="C33" s="1"/>
      <c r="D33" s="1"/>
      <c r="E33" s="1"/>
      <c r="F33" s="28"/>
      <c r="G33" s="1" t="s">
        <v>255</v>
      </c>
      <c r="H33" s="1" t="s">
        <v>273</v>
      </c>
      <c r="I33" s="29" t="s">
        <v>274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8"/>
      <c r="AD33" s="8"/>
    </row>
    <row r="34" spans="1:30" x14ac:dyDescent="0.2">
      <c r="A34" s="1"/>
      <c r="B34" s="1"/>
      <c r="C34" s="1"/>
      <c r="D34" s="1"/>
      <c r="E34" s="1"/>
      <c r="F34" s="28" t="s">
        <v>254</v>
      </c>
      <c r="G34" s="1" t="s">
        <v>275</v>
      </c>
      <c r="H34" s="1" t="s">
        <v>277</v>
      </c>
      <c r="I34" s="29">
        <v>0.34310000000000002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">
      <c r="A35" s="1"/>
      <c r="B35" s="1"/>
      <c r="C35" s="1"/>
      <c r="D35" s="1"/>
      <c r="E35" s="1"/>
      <c r="F35" s="30" t="s">
        <v>259</v>
      </c>
      <c r="G35" s="31"/>
      <c r="H35" s="40" t="s">
        <v>276</v>
      </c>
      <c r="I35" s="23">
        <v>0.1663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DB23-D626-5448-B643-B68E4D7F0975}">
  <dimension ref="A1:O50"/>
  <sheetViews>
    <sheetView workbookViewId="0">
      <selection activeCell="H21" sqref="H21"/>
    </sheetView>
  </sheetViews>
  <sheetFormatPr baseColWidth="10" defaultRowHeight="16" x14ac:dyDescent="0.2"/>
  <cols>
    <col min="1" max="1" width="12.83203125" customWidth="1"/>
    <col min="2" max="2" width="11.33203125" customWidth="1"/>
    <col min="3" max="3" width="14.6640625" bestFit="1" customWidth="1"/>
    <col min="4" max="4" width="13.5" bestFit="1" customWidth="1"/>
    <col min="5" max="5" width="14" bestFit="1" customWidth="1"/>
  </cols>
  <sheetData>
    <row r="1" spans="1:8" x14ac:dyDescent="0.2">
      <c r="B1" s="1" t="s">
        <v>387</v>
      </c>
      <c r="C1" s="1"/>
      <c r="D1" s="1"/>
      <c r="E1" s="1"/>
      <c r="F1" s="1"/>
      <c r="G1" s="1"/>
    </row>
    <row r="2" spans="1:8" x14ac:dyDescent="0.2">
      <c r="B2" s="1"/>
      <c r="C2" s="1"/>
      <c r="D2" s="1"/>
      <c r="E2" s="1"/>
      <c r="F2" s="1"/>
      <c r="G2" s="1"/>
    </row>
    <row r="3" spans="1:8" ht="17" thickBot="1" x14ac:dyDescent="0.25">
      <c r="B3" s="12" t="s">
        <v>0</v>
      </c>
      <c r="C3" s="12" t="s">
        <v>424</v>
      </c>
      <c r="D3" s="12" t="s">
        <v>425</v>
      </c>
      <c r="E3" s="12" t="s">
        <v>386</v>
      </c>
      <c r="F3" s="1"/>
      <c r="G3" s="1" t="s">
        <v>388</v>
      </c>
      <c r="H3" s="1"/>
    </row>
    <row r="4" spans="1:8" x14ac:dyDescent="0.2">
      <c r="B4">
        <v>1.0687561001165777</v>
      </c>
      <c r="C4" s="71">
        <v>1.62986287</v>
      </c>
      <c r="D4">
        <v>1.0815158608398785</v>
      </c>
      <c r="E4" s="1">
        <v>0.46012558448575935</v>
      </c>
      <c r="F4" s="1"/>
      <c r="H4" s="1"/>
    </row>
    <row r="5" spans="1:8" x14ac:dyDescent="0.2">
      <c r="B5">
        <v>0.5988340578532374</v>
      </c>
      <c r="C5" s="71">
        <v>1.50765098</v>
      </c>
      <c r="D5">
        <v>1.0004206344846918</v>
      </c>
      <c r="E5" s="1">
        <v>0.19379826005138492</v>
      </c>
      <c r="F5" s="1"/>
      <c r="H5" s="1"/>
    </row>
    <row r="6" spans="1:8" x14ac:dyDescent="0.2">
      <c r="B6">
        <v>1.3324098420301849</v>
      </c>
      <c r="C6" s="72">
        <v>0.74092438999999999</v>
      </c>
      <c r="D6" s="73">
        <v>0.4916496299055243</v>
      </c>
      <c r="E6" s="1">
        <v>0.15040411021024974</v>
      </c>
      <c r="F6" s="1"/>
      <c r="H6" s="1"/>
    </row>
    <row r="7" spans="1:8" x14ac:dyDescent="0.2">
      <c r="B7" s="73">
        <v>3.1486939253358104</v>
      </c>
      <c r="C7" s="71">
        <v>1.3835373799999999</v>
      </c>
      <c r="D7">
        <v>0.91806350467542985</v>
      </c>
      <c r="E7" s="1"/>
      <c r="F7" s="1"/>
      <c r="H7" s="1"/>
    </row>
    <row r="8" spans="1:8" x14ac:dyDescent="0.2">
      <c r="E8" s="1"/>
      <c r="G8" s="1"/>
    </row>
    <row r="9" spans="1:8" x14ac:dyDescent="0.2">
      <c r="A9" s="34" t="s">
        <v>9</v>
      </c>
      <c r="B9" s="8">
        <v>1</v>
      </c>
      <c r="C9" s="8">
        <v>1.5069999999999999</v>
      </c>
      <c r="D9" s="8">
        <v>1</v>
      </c>
      <c r="E9" s="8">
        <v>0.2681</v>
      </c>
      <c r="G9" s="1"/>
    </row>
    <row r="10" spans="1:8" x14ac:dyDescent="0.2">
      <c r="A10" s="34" t="s">
        <v>10</v>
      </c>
      <c r="B10" s="8">
        <v>0.37159999999999999</v>
      </c>
      <c r="C10" s="8">
        <v>0.1232</v>
      </c>
      <c r="D10" s="8">
        <v>8.1729999999999997E-2</v>
      </c>
      <c r="E10" s="8">
        <v>0.16769999999999999</v>
      </c>
      <c r="G10" s="1"/>
    </row>
    <row r="11" spans="1:8" x14ac:dyDescent="0.2">
      <c r="A11" s="34" t="s">
        <v>11</v>
      </c>
      <c r="B11" s="8">
        <v>0.2145</v>
      </c>
      <c r="C11" s="8">
        <v>7.1110000000000007E-2</v>
      </c>
      <c r="D11" s="8">
        <v>4.7190000000000003E-2</v>
      </c>
      <c r="E11" s="8">
        <v>9.6820000000000003E-2</v>
      </c>
      <c r="G11" s="1"/>
    </row>
    <row r="12" spans="1:8" x14ac:dyDescent="0.2">
      <c r="A12" s="1"/>
      <c r="B12" s="1"/>
      <c r="C12" s="1"/>
      <c r="D12" s="1"/>
      <c r="E12" s="1"/>
      <c r="F12" s="1"/>
      <c r="G12" s="1"/>
    </row>
    <row r="14" spans="1:8" x14ac:dyDescent="0.2">
      <c r="A14" s="5"/>
      <c r="B14" s="1" t="s">
        <v>255</v>
      </c>
      <c r="C14" s="1" t="s">
        <v>392</v>
      </c>
      <c r="D14" s="1"/>
      <c r="E14" s="1" t="s">
        <v>327</v>
      </c>
    </row>
    <row r="15" spans="1:8" x14ac:dyDescent="0.2">
      <c r="A15" s="5" t="s">
        <v>254</v>
      </c>
      <c r="B15" s="1" t="s">
        <v>389</v>
      </c>
      <c r="C15" s="1">
        <v>8.0600000000000005E-2</v>
      </c>
      <c r="D15" s="1"/>
      <c r="E15" s="1" t="s">
        <v>390</v>
      </c>
    </row>
    <row r="16" spans="1:8" ht="17" thickBot="1" x14ac:dyDescent="0.25">
      <c r="A16" s="11" t="s">
        <v>259</v>
      </c>
      <c r="B16" s="12"/>
      <c r="C16" s="12" t="s">
        <v>393</v>
      </c>
      <c r="D16" s="12"/>
      <c r="E16" s="12" t="s">
        <v>391</v>
      </c>
    </row>
    <row r="19" spans="1:15" x14ac:dyDescent="0.2">
      <c r="E19" s="1" t="s">
        <v>394</v>
      </c>
    </row>
    <row r="20" spans="1:15" x14ac:dyDescent="0.2">
      <c r="E20">
        <f>1-E9</f>
        <v>0.7319</v>
      </c>
    </row>
    <row r="25" spans="1:15" x14ac:dyDescent="0.2">
      <c r="B25" s="74" t="s">
        <v>395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</row>
    <row r="26" spans="1:15" x14ac:dyDescent="0.2">
      <c r="B26" s="71" t="s">
        <v>396</v>
      </c>
      <c r="C26" s="71" t="s">
        <v>397</v>
      </c>
      <c r="D26" s="71" t="s">
        <v>398</v>
      </c>
      <c r="E26" s="71" t="s">
        <v>399</v>
      </c>
      <c r="F26" s="71" t="s">
        <v>400</v>
      </c>
      <c r="G26" s="71" t="s">
        <v>401</v>
      </c>
      <c r="H26" s="71" t="s">
        <v>402</v>
      </c>
      <c r="I26" s="71" t="s">
        <v>403</v>
      </c>
      <c r="J26" s="71" t="s">
        <v>404</v>
      </c>
      <c r="K26" s="71" t="s">
        <v>405</v>
      </c>
      <c r="L26" s="71" t="s">
        <v>406</v>
      </c>
      <c r="M26" s="71" t="s">
        <v>407</v>
      </c>
      <c r="N26" s="71" t="s">
        <v>408</v>
      </c>
      <c r="O26" s="71" t="s">
        <v>409</v>
      </c>
    </row>
    <row r="27" spans="1:15" x14ac:dyDescent="0.2">
      <c r="A27" t="s">
        <v>0</v>
      </c>
      <c r="B27" s="71" t="s">
        <v>410</v>
      </c>
      <c r="C27" s="75" t="s">
        <v>412</v>
      </c>
      <c r="D27" s="71">
        <v>1</v>
      </c>
      <c r="E27" s="71"/>
      <c r="F27" s="71" t="s">
        <v>411</v>
      </c>
      <c r="G27" s="71">
        <v>0.73401499999999997</v>
      </c>
      <c r="H27" s="71">
        <v>1295404</v>
      </c>
      <c r="I27" s="71">
        <v>2178220</v>
      </c>
      <c r="J27" s="71" t="s">
        <v>411</v>
      </c>
      <c r="K27" s="71" t="s">
        <v>411</v>
      </c>
      <c r="L27" s="71">
        <v>100</v>
      </c>
      <c r="M27" s="71">
        <v>27.465157000000001</v>
      </c>
      <c r="N27" s="71">
        <v>1</v>
      </c>
      <c r="O27" s="71">
        <v>1295404</v>
      </c>
    </row>
    <row r="28" spans="1:15" x14ac:dyDescent="0.2">
      <c r="B28" s="71" t="s">
        <v>410</v>
      </c>
      <c r="C28" s="76" t="s">
        <v>413</v>
      </c>
      <c r="D28" s="71">
        <v>1</v>
      </c>
      <c r="E28" s="71"/>
      <c r="F28" s="71" t="s">
        <v>411</v>
      </c>
      <c r="G28" s="71">
        <v>0.74424599999999996</v>
      </c>
      <c r="H28" s="71">
        <v>804452</v>
      </c>
      <c r="I28" s="71">
        <v>1602040</v>
      </c>
      <c r="J28" s="71" t="s">
        <v>411</v>
      </c>
      <c r="K28" s="71" t="s">
        <v>411</v>
      </c>
      <c r="L28" s="71">
        <v>100</v>
      </c>
      <c r="M28" s="71">
        <v>16.956022000000001</v>
      </c>
      <c r="N28" s="71">
        <v>0.90226300000000004</v>
      </c>
      <c r="O28" s="71">
        <v>725827</v>
      </c>
    </row>
    <row r="29" spans="1:15" x14ac:dyDescent="0.2">
      <c r="B29" s="71" t="s">
        <v>410</v>
      </c>
      <c r="C29" s="75" t="s">
        <v>414</v>
      </c>
      <c r="D29" s="71">
        <v>1</v>
      </c>
      <c r="E29" s="71"/>
      <c r="F29" s="71" t="s">
        <v>411</v>
      </c>
      <c r="G29" s="71">
        <v>0.75447600000000004</v>
      </c>
      <c r="H29" s="71">
        <v>1946296</v>
      </c>
      <c r="I29" s="71">
        <v>2880416</v>
      </c>
      <c r="J29" s="71" t="s">
        <v>411</v>
      </c>
      <c r="K29" s="71" t="s">
        <v>411</v>
      </c>
      <c r="L29" s="71">
        <v>100</v>
      </c>
      <c r="M29" s="71">
        <v>31.603840999999999</v>
      </c>
      <c r="N29" s="71">
        <v>0.829766</v>
      </c>
      <c r="O29" s="71">
        <v>1614970</v>
      </c>
    </row>
    <row r="30" spans="1:15" x14ac:dyDescent="0.2">
      <c r="B30" s="71" t="s">
        <v>410</v>
      </c>
      <c r="C30" s="77" t="s">
        <v>415</v>
      </c>
      <c r="D30" s="71">
        <v>1</v>
      </c>
      <c r="E30" s="71"/>
      <c r="F30" s="71" t="s">
        <v>411</v>
      </c>
      <c r="G30" s="71">
        <v>0.75959100000000002</v>
      </c>
      <c r="H30" s="71">
        <v>5123228</v>
      </c>
      <c r="I30" s="71">
        <v>6366624</v>
      </c>
      <c r="J30" s="71" t="s">
        <v>411</v>
      </c>
      <c r="K30" s="71" t="s">
        <v>411</v>
      </c>
      <c r="L30" s="71">
        <v>100</v>
      </c>
      <c r="M30" s="71">
        <v>34.955883999999998</v>
      </c>
      <c r="N30" s="71">
        <v>0.74492599999999998</v>
      </c>
      <c r="O30" s="71">
        <v>3816428</v>
      </c>
    </row>
    <row r="31" spans="1:15" x14ac:dyDescent="0.2">
      <c r="A31" t="s">
        <v>467</v>
      </c>
      <c r="B31" s="71" t="s">
        <v>410</v>
      </c>
      <c r="C31" s="75" t="s">
        <v>416</v>
      </c>
      <c r="D31" s="71">
        <v>1</v>
      </c>
      <c r="E31" s="71"/>
      <c r="F31" s="71" t="s">
        <v>411</v>
      </c>
      <c r="G31" s="71">
        <v>0.76214800000000005</v>
      </c>
      <c r="H31" s="71">
        <v>2036144</v>
      </c>
      <c r="I31" s="71">
        <v>3276416</v>
      </c>
      <c r="J31" s="71" t="s">
        <v>411</v>
      </c>
      <c r="K31" s="71" t="s">
        <v>411</v>
      </c>
      <c r="L31" s="71">
        <v>100</v>
      </c>
      <c r="M31" s="71">
        <v>26.066433</v>
      </c>
      <c r="N31" s="71">
        <v>0.97021800000000002</v>
      </c>
      <c r="O31" s="71">
        <v>1975503</v>
      </c>
    </row>
    <row r="32" spans="1:15" x14ac:dyDescent="0.2">
      <c r="B32" s="71" t="s">
        <v>410</v>
      </c>
      <c r="C32" s="76" t="s">
        <v>417</v>
      </c>
      <c r="D32" s="71">
        <v>1</v>
      </c>
      <c r="E32" s="71"/>
      <c r="F32" s="71" t="s">
        <v>411</v>
      </c>
      <c r="G32" s="71">
        <v>0.764706</v>
      </c>
      <c r="H32" s="71">
        <v>2182708</v>
      </c>
      <c r="I32" s="71">
        <v>3272852</v>
      </c>
      <c r="J32" s="71" t="s">
        <v>411</v>
      </c>
      <c r="K32" s="71" t="s">
        <v>411</v>
      </c>
      <c r="L32" s="71">
        <v>100</v>
      </c>
      <c r="M32" s="71">
        <v>23.620244</v>
      </c>
      <c r="N32" s="71">
        <v>0.83720499999999998</v>
      </c>
      <c r="O32" s="71">
        <v>1827374</v>
      </c>
    </row>
    <row r="33" spans="1:15" x14ac:dyDescent="0.2">
      <c r="B33" s="71" t="s">
        <v>410</v>
      </c>
      <c r="C33" s="75" t="s">
        <v>418</v>
      </c>
      <c r="D33" s="71">
        <v>1</v>
      </c>
      <c r="E33" s="71"/>
      <c r="F33" s="71" t="s">
        <v>411</v>
      </c>
      <c r="G33" s="71">
        <v>0.77237900000000004</v>
      </c>
      <c r="H33" s="71">
        <v>924396</v>
      </c>
      <c r="I33" s="71">
        <v>1748604</v>
      </c>
      <c r="J33" s="71" t="s">
        <v>411</v>
      </c>
      <c r="K33" s="71" t="s">
        <v>411</v>
      </c>
      <c r="L33" s="71">
        <v>100</v>
      </c>
      <c r="M33" s="71">
        <v>22.731846999999998</v>
      </c>
      <c r="N33" s="71">
        <v>0.97150000000000003</v>
      </c>
      <c r="O33" s="71">
        <v>898050</v>
      </c>
    </row>
    <row r="34" spans="1:15" x14ac:dyDescent="0.2">
      <c r="B34" s="71" t="s">
        <v>410</v>
      </c>
      <c r="C34" s="77" t="s">
        <v>419</v>
      </c>
      <c r="D34" s="71">
        <v>1</v>
      </c>
      <c r="E34" s="71"/>
      <c r="F34" s="71" t="s">
        <v>411</v>
      </c>
      <c r="G34" s="71">
        <v>0.77493599999999996</v>
      </c>
      <c r="H34" s="71">
        <v>1914484</v>
      </c>
      <c r="I34" s="71">
        <v>2946284</v>
      </c>
      <c r="J34" s="71" t="s">
        <v>411</v>
      </c>
      <c r="K34" s="71" t="s">
        <v>411</v>
      </c>
      <c r="L34" s="71">
        <v>100</v>
      </c>
      <c r="M34" s="71">
        <v>21.496891999999999</v>
      </c>
      <c r="N34" s="71">
        <v>0.87592300000000001</v>
      </c>
      <c r="O34" s="71">
        <v>1676940</v>
      </c>
    </row>
    <row r="35" spans="1:15" x14ac:dyDescent="0.2">
      <c r="A35" t="s">
        <v>468</v>
      </c>
      <c r="B35" s="71" t="s">
        <v>410</v>
      </c>
      <c r="C35" s="75" t="s">
        <v>420</v>
      </c>
      <c r="D35" s="71">
        <v>1</v>
      </c>
      <c r="E35" s="71"/>
      <c r="F35" s="71" t="s">
        <v>411</v>
      </c>
      <c r="G35" s="71">
        <v>0.77493599999999996</v>
      </c>
      <c r="H35" s="71">
        <v>3100548</v>
      </c>
      <c r="I35" s="71">
        <v>4067536</v>
      </c>
      <c r="J35" s="71" t="s">
        <v>411</v>
      </c>
      <c r="K35" s="71" t="s">
        <v>411</v>
      </c>
      <c r="L35" s="71">
        <v>100</v>
      </c>
      <c r="M35" s="71">
        <v>20.615960000000001</v>
      </c>
      <c r="N35" s="71">
        <v>0.94433500000000004</v>
      </c>
      <c r="O35" s="71">
        <v>2927957</v>
      </c>
    </row>
    <row r="36" spans="1:15" x14ac:dyDescent="0.2">
      <c r="B36" s="71" t="s">
        <v>410</v>
      </c>
      <c r="C36" s="76" t="s">
        <v>421</v>
      </c>
      <c r="D36" s="71">
        <v>1</v>
      </c>
      <c r="E36" s="71"/>
      <c r="F36" s="71" t="s">
        <v>411</v>
      </c>
      <c r="G36" s="71">
        <v>0.782609</v>
      </c>
      <c r="H36" s="71">
        <v>1238468</v>
      </c>
      <c r="I36" s="71">
        <v>2033416</v>
      </c>
      <c r="J36" s="71" t="s">
        <v>411</v>
      </c>
      <c r="K36" s="71" t="s">
        <v>411</v>
      </c>
      <c r="L36" s="71">
        <v>100</v>
      </c>
      <c r="M36" s="71">
        <v>23.040527999999998</v>
      </c>
      <c r="N36" s="71">
        <v>0.67863499999999999</v>
      </c>
      <c r="O36" s="71">
        <v>840468</v>
      </c>
    </row>
    <row r="37" spans="1:15" x14ac:dyDescent="0.2">
      <c r="B37" s="71" t="s">
        <v>410</v>
      </c>
      <c r="C37" s="75" t="s">
        <v>422</v>
      </c>
      <c r="D37" s="71">
        <v>1</v>
      </c>
      <c r="E37" s="71"/>
      <c r="F37" s="71" t="s">
        <v>411</v>
      </c>
      <c r="G37" s="71">
        <v>0.78516600000000003</v>
      </c>
      <c r="H37" s="71">
        <v>613184</v>
      </c>
      <c r="I37" s="71">
        <v>1383272</v>
      </c>
      <c r="J37" s="71" t="s">
        <v>411</v>
      </c>
      <c r="K37" s="71" t="s">
        <v>411</v>
      </c>
      <c r="L37" s="71">
        <v>100</v>
      </c>
      <c r="M37" s="71">
        <v>13.32938</v>
      </c>
      <c r="N37" s="71">
        <v>0.57730400000000004</v>
      </c>
      <c r="O37" s="71">
        <v>353993</v>
      </c>
    </row>
    <row r="38" spans="1:15" x14ac:dyDescent="0.2">
      <c r="B38" s="71" t="s">
        <v>410</v>
      </c>
      <c r="C38" s="76" t="s">
        <v>423</v>
      </c>
      <c r="D38" s="71">
        <v>1</v>
      </c>
      <c r="E38" s="71"/>
      <c r="F38" s="71" t="s">
        <v>411</v>
      </c>
      <c r="G38" s="71">
        <v>0.78772399999999998</v>
      </c>
      <c r="H38" s="71">
        <v>400268</v>
      </c>
      <c r="I38" s="71">
        <v>1276880</v>
      </c>
      <c r="J38" s="71" t="s">
        <v>411</v>
      </c>
      <c r="K38" s="71" t="s">
        <v>411</v>
      </c>
      <c r="L38" s="71">
        <v>100</v>
      </c>
      <c r="M38" s="71">
        <v>14.644944000000001</v>
      </c>
      <c r="N38" s="71">
        <v>0.68636299999999995</v>
      </c>
      <c r="O38" s="71">
        <v>274729</v>
      </c>
    </row>
    <row r="39" spans="1:15" x14ac:dyDescent="0.2">
      <c r="B39" s="71"/>
      <c r="C39" s="75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</row>
    <row r="40" spans="1:15" x14ac:dyDescent="0.2">
      <c r="B40" s="71"/>
      <c r="C40" s="75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</row>
    <row r="41" spans="1:15" x14ac:dyDescent="0.2">
      <c r="B41" s="71"/>
      <c r="C41" s="75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2" spans="1:15" x14ac:dyDescent="0.2">
      <c r="B42" s="71"/>
      <c r="C42" s="75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</row>
    <row r="43" spans="1:15" x14ac:dyDescent="0.2">
      <c r="B43" s="71"/>
      <c r="C43" s="75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</row>
    <row r="44" spans="1:15" x14ac:dyDescent="0.2">
      <c r="B44" s="71"/>
      <c r="C44" s="75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</row>
    <row r="45" spans="1:15" x14ac:dyDescent="0.2">
      <c r="B45" s="71"/>
      <c r="C45" s="75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</row>
    <row r="46" spans="1:15" x14ac:dyDescent="0.2">
      <c r="B46" s="71"/>
      <c r="C46" s="75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</row>
    <row r="47" spans="1:15" x14ac:dyDescent="0.2">
      <c r="B47" s="71"/>
      <c r="C47" s="75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</row>
    <row r="48" spans="1:15" x14ac:dyDescent="0.2">
      <c r="B48" s="71"/>
      <c r="C48" s="75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</row>
    <row r="49" spans="2:15" x14ac:dyDescent="0.2">
      <c r="B49" s="71"/>
      <c r="C49" s="75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</row>
    <row r="50" spans="2:15" x14ac:dyDescent="0.2">
      <c r="B50" s="71"/>
      <c r="C50" s="75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832B-4355-1F41-A357-50B65E836D9E}">
  <dimension ref="A1:U133"/>
  <sheetViews>
    <sheetView topLeftCell="A34" workbookViewId="0">
      <selection activeCell="P33" sqref="P33"/>
    </sheetView>
  </sheetViews>
  <sheetFormatPr baseColWidth="10" defaultRowHeight="16" x14ac:dyDescent="0.2"/>
  <cols>
    <col min="17" max="17" width="12.6640625" bestFit="1" customWidth="1"/>
    <col min="18" max="18" width="17" bestFit="1" customWidth="1"/>
    <col min="19" max="19" width="13.33203125" bestFit="1" customWidth="1"/>
    <col min="20" max="20" width="12.5" bestFit="1" customWidth="1"/>
    <col min="21" max="21" width="14.33203125" bestFit="1" customWidth="1"/>
  </cols>
  <sheetData>
    <row r="1" spans="1:21" ht="17" thickBot="1" x14ac:dyDescent="0.25"/>
    <row r="2" spans="1:21" x14ac:dyDescent="0.2">
      <c r="A2" t="s">
        <v>17</v>
      </c>
      <c r="B2" t="s">
        <v>18</v>
      </c>
      <c r="D2" t="s">
        <v>19</v>
      </c>
      <c r="F2" t="s">
        <v>20</v>
      </c>
      <c r="Q2" s="59"/>
      <c r="R2" s="60" t="s">
        <v>171</v>
      </c>
      <c r="S2" s="60"/>
      <c r="T2" s="60"/>
      <c r="U2" s="51"/>
    </row>
    <row r="3" spans="1:21" x14ac:dyDescent="0.2">
      <c r="B3" t="s">
        <v>21</v>
      </c>
      <c r="C3" t="s">
        <v>22</v>
      </c>
      <c r="D3" t="s">
        <v>23</v>
      </c>
      <c r="G3" t="s">
        <v>21</v>
      </c>
      <c r="H3" t="s">
        <v>22</v>
      </c>
      <c r="I3" t="s">
        <v>23</v>
      </c>
      <c r="L3" t="s">
        <v>21</v>
      </c>
      <c r="M3" t="s">
        <v>22</v>
      </c>
      <c r="N3" t="s">
        <v>23</v>
      </c>
      <c r="Q3" s="61"/>
      <c r="U3" s="52"/>
    </row>
    <row r="4" spans="1:21" x14ac:dyDescent="0.2">
      <c r="A4" t="s">
        <v>24</v>
      </c>
      <c r="B4">
        <v>15</v>
      </c>
      <c r="C4">
        <v>383.3</v>
      </c>
      <c r="D4">
        <f t="shared" ref="D4:D19" si="0">B4/(C4/1000)</f>
        <v>39.133837725019561</v>
      </c>
      <c r="F4" t="s">
        <v>25</v>
      </c>
      <c r="G4">
        <v>14</v>
      </c>
      <c r="H4">
        <v>424.6</v>
      </c>
      <c r="I4">
        <f t="shared" ref="I4:I18" si="1">G4/(H4/1000)</f>
        <v>32.972209138012246</v>
      </c>
      <c r="K4" t="s">
        <v>26</v>
      </c>
      <c r="L4">
        <v>11</v>
      </c>
      <c r="M4">
        <v>340.9</v>
      </c>
      <c r="N4">
        <f t="shared" ref="N4:N15" si="2">L4/(M4/1000)</f>
        <v>32.267527134056913</v>
      </c>
      <c r="Q4" s="61"/>
      <c r="R4" s="7" t="s">
        <v>0</v>
      </c>
      <c r="S4" s="7" t="s">
        <v>1</v>
      </c>
      <c r="T4" s="7" t="s">
        <v>170</v>
      </c>
      <c r="U4" s="62" t="s">
        <v>2</v>
      </c>
    </row>
    <row r="5" spans="1:21" x14ac:dyDescent="0.2">
      <c r="A5" t="s">
        <v>27</v>
      </c>
      <c r="B5">
        <v>11</v>
      </c>
      <c r="C5">
        <v>386.2</v>
      </c>
      <c r="D5">
        <f t="shared" si="0"/>
        <v>28.482651475919212</v>
      </c>
      <c r="F5" t="s">
        <v>28</v>
      </c>
      <c r="G5">
        <v>11</v>
      </c>
      <c r="H5">
        <v>432.6</v>
      </c>
      <c r="I5">
        <f t="shared" si="1"/>
        <v>25.427646786870085</v>
      </c>
      <c r="K5" t="s">
        <v>29</v>
      </c>
      <c r="L5">
        <v>13</v>
      </c>
      <c r="M5">
        <v>406.2</v>
      </c>
      <c r="N5">
        <f t="shared" si="2"/>
        <v>32.003938946331857</v>
      </c>
      <c r="Q5" s="63">
        <v>45547</v>
      </c>
      <c r="R5" s="8">
        <v>26.018999999999998</v>
      </c>
      <c r="S5" s="8">
        <v>19.11</v>
      </c>
      <c r="T5" s="8"/>
      <c r="U5" s="50">
        <v>28.77</v>
      </c>
    </row>
    <row r="6" spans="1:21" x14ac:dyDescent="0.2">
      <c r="A6" t="s">
        <v>30</v>
      </c>
      <c r="B6">
        <v>9</v>
      </c>
      <c r="C6">
        <v>396.6</v>
      </c>
      <c r="D6">
        <f t="shared" si="0"/>
        <v>22.6928895612708</v>
      </c>
      <c r="F6" t="s">
        <v>31</v>
      </c>
      <c r="G6">
        <v>8</v>
      </c>
      <c r="H6">
        <v>435.3</v>
      </c>
      <c r="I6">
        <f t="shared" si="1"/>
        <v>18.378130025269929</v>
      </c>
      <c r="K6" t="s">
        <v>32</v>
      </c>
      <c r="L6">
        <v>11</v>
      </c>
      <c r="M6">
        <v>394</v>
      </c>
      <c r="N6">
        <f t="shared" si="2"/>
        <v>27.918781725888323</v>
      </c>
      <c r="Q6" s="63">
        <v>45552</v>
      </c>
      <c r="R6" s="8">
        <v>33.700000000000003</v>
      </c>
      <c r="S6" s="8">
        <v>16.05</v>
      </c>
      <c r="T6" s="8">
        <v>29.753</v>
      </c>
      <c r="U6" s="50"/>
    </row>
    <row r="7" spans="1:21" x14ac:dyDescent="0.2">
      <c r="A7" t="s">
        <v>33</v>
      </c>
      <c r="B7">
        <v>12</v>
      </c>
      <c r="C7">
        <v>440.9</v>
      </c>
      <c r="D7">
        <f t="shared" si="0"/>
        <v>27.217056021773647</v>
      </c>
      <c r="F7" t="s">
        <v>34</v>
      </c>
      <c r="G7">
        <v>9</v>
      </c>
      <c r="H7">
        <v>473.6</v>
      </c>
      <c r="I7">
        <f t="shared" si="1"/>
        <v>19.003378378378379</v>
      </c>
      <c r="K7" t="s">
        <v>35</v>
      </c>
      <c r="L7">
        <v>16</v>
      </c>
      <c r="M7">
        <v>280.39999999999998</v>
      </c>
      <c r="N7">
        <f t="shared" si="2"/>
        <v>57.061340941512128</v>
      </c>
      <c r="Q7" s="63">
        <v>45644</v>
      </c>
      <c r="R7" s="8">
        <v>29.38</v>
      </c>
      <c r="S7" s="8">
        <v>16.73</v>
      </c>
      <c r="T7" s="8"/>
      <c r="U7" s="50">
        <v>33.968000000000004</v>
      </c>
    </row>
    <row r="8" spans="1:21" x14ac:dyDescent="0.2">
      <c r="A8" t="s">
        <v>36</v>
      </c>
      <c r="B8">
        <v>9</v>
      </c>
      <c r="C8">
        <v>381.3</v>
      </c>
      <c r="D8">
        <f t="shared" si="0"/>
        <v>23.603461841070022</v>
      </c>
      <c r="F8" t="s">
        <v>37</v>
      </c>
      <c r="G8">
        <v>8</v>
      </c>
      <c r="H8">
        <v>415.4</v>
      </c>
      <c r="I8">
        <f t="shared" si="1"/>
        <v>19.258545979778528</v>
      </c>
      <c r="K8" t="s">
        <v>38</v>
      </c>
      <c r="L8">
        <v>9</v>
      </c>
      <c r="M8">
        <v>429.5</v>
      </c>
      <c r="N8">
        <f t="shared" si="2"/>
        <v>20.954598370197903</v>
      </c>
      <c r="Q8" s="63">
        <v>45706</v>
      </c>
      <c r="R8" s="8">
        <v>24.706</v>
      </c>
      <c r="S8" s="8">
        <v>14.78</v>
      </c>
      <c r="T8" s="8">
        <v>28.27</v>
      </c>
      <c r="U8" s="50"/>
    </row>
    <row r="9" spans="1:21" x14ac:dyDescent="0.2">
      <c r="A9" t="s">
        <v>39</v>
      </c>
      <c r="B9">
        <v>16</v>
      </c>
      <c r="C9">
        <v>503.2</v>
      </c>
      <c r="D9">
        <f t="shared" si="0"/>
        <v>31.796502384737678</v>
      </c>
      <c r="F9" t="s">
        <v>40</v>
      </c>
      <c r="G9">
        <v>8</v>
      </c>
      <c r="H9">
        <v>419.7</v>
      </c>
      <c r="I9">
        <f t="shared" si="1"/>
        <v>19.061234214915416</v>
      </c>
      <c r="K9" t="s">
        <v>41</v>
      </c>
      <c r="L9">
        <v>15</v>
      </c>
      <c r="M9">
        <v>303.89999999999998</v>
      </c>
      <c r="N9">
        <f t="shared" si="2"/>
        <v>49.358341559723591</v>
      </c>
      <c r="Q9" s="63">
        <v>45706</v>
      </c>
      <c r="R9" s="8">
        <v>31.71</v>
      </c>
      <c r="S9" s="8">
        <v>11.612</v>
      </c>
      <c r="T9" s="8"/>
      <c r="U9" s="50">
        <v>28.234999999999999</v>
      </c>
    </row>
    <row r="10" spans="1:21" x14ac:dyDescent="0.2">
      <c r="A10" t="s">
        <v>42</v>
      </c>
      <c r="B10">
        <v>8</v>
      </c>
      <c r="C10">
        <v>487.1</v>
      </c>
      <c r="D10">
        <f t="shared" si="0"/>
        <v>16.423732293163621</v>
      </c>
      <c r="F10" t="s">
        <v>43</v>
      </c>
      <c r="G10">
        <v>4</v>
      </c>
      <c r="H10">
        <v>419.9</v>
      </c>
      <c r="I10">
        <f t="shared" si="1"/>
        <v>9.5260776375327456</v>
      </c>
      <c r="K10" t="s">
        <v>44</v>
      </c>
      <c r="L10">
        <v>11</v>
      </c>
      <c r="M10">
        <v>405.4</v>
      </c>
      <c r="N10">
        <f t="shared" si="2"/>
        <v>27.133695115934881</v>
      </c>
      <c r="Q10" s="63">
        <v>45735</v>
      </c>
      <c r="R10" s="8"/>
      <c r="S10" s="8">
        <v>14.635</v>
      </c>
      <c r="T10" s="8">
        <v>20.492000000000001</v>
      </c>
      <c r="U10" s="50">
        <v>19.338999999999999</v>
      </c>
    </row>
    <row r="11" spans="1:21" x14ac:dyDescent="0.2">
      <c r="A11" t="s">
        <v>45</v>
      </c>
      <c r="B11">
        <v>15</v>
      </c>
      <c r="C11">
        <v>502.1</v>
      </c>
      <c r="D11">
        <f t="shared" si="0"/>
        <v>29.874526986656043</v>
      </c>
      <c r="F11" t="s">
        <v>46</v>
      </c>
      <c r="G11">
        <v>11</v>
      </c>
      <c r="H11">
        <v>456.1</v>
      </c>
      <c r="I11">
        <f t="shared" si="1"/>
        <v>24.117518088138567</v>
      </c>
      <c r="K11" t="s">
        <v>47</v>
      </c>
      <c r="L11">
        <v>11</v>
      </c>
      <c r="M11">
        <v>456.5</v>
      </c>
      <c r="N11">
        <f t="shared" si="2"/>
        <v>24.096385542168672</v>
      </c>
      <c r="Q11" s="61"/>
      <c r="R11" s="8"/>
      <c r="S11" s="8"/>
      <c r="T11" s="8"/>
      <c r="U11" s="50"/>
    </row>
    <row r="12" spans="1:21" x14ac:dyDescent="0.2">
      <c r="A12" t="s">
        <v>48</v>
      </c>
      <c r="B12">
        <v>11</v>
      </c>
      <c r="C12">
        <v>498.4</v>
      </c>
      <c r="D12">
        <f t="shared" si="0"/>
        <v>22.070626003210275</v>
      </c>
      <c r="F12" t="s">
        <v>49</v>
      </c>
      <c r="G12">
        <v>8</v>
      </c>
      <c r="H12">
        <v>474.8</v>
      </c>
      <c r="I12">
        <f t="shared" si="1"/>
        <v>16.849199663016005</v>
      </c>
      <c r="K12" t="s">
        <v>50</v>
      </c>
      <c r="L12">
        <v>13</v>
      </c>
      <c r="M12">
        <v>430.53</v>
      </c>
      <c r="N12">
        <f t="shared" si="2"/>
        <v>30.195340626669456</v>
      </c>
      <c r="Q12" s="61"/>
      <c r="U12" s="52"/>
    </row>
    <row r="13" spans="1:21" x14ac:dyDescent="0.2">
      <c r="A13" t="s">
        <v>51</v>
      </c>
      <c r="B13">
        <v>12</v>
      </c>
      <c r="C13">
        <v>433.2</v>
      </c>
      <c r="D13">
        <f t="shared" si="0"/>
        <v>27.70083102493075</v>
      </c>
      <c r="F13" t="s">
        <v>52</v>
      </c>
      <c r="G13">
        <v>10</v>
      </c>
      <c r="H13">
        <v>461.1</v>
      </c>
      <c r="I13">
        <f t="shared" si="1"/>
        <v>21.68726957276079</v>
      </c>
      <c r="K13" t="s">
        <v>53</v>
      </c>
      <c r="L13">
        <v>10</v>
      </c>
      <c r="M13">
        <v>281</v>
      </c>
      <c r="N13">
        <f t="shared" si="2"/>
        <v>35.587188612099638</v>
      </c>
      <c r="Q13" s="61"/>
      <c r="U13" s="52"/>
    </row>
    <row r="14" spans="1:21" x14ac:dyDescent="0.2">
      <c r="A14" t="s">
        <v>54</v>
      </c>
      <c r="B14">
        <v>14</v>
      </c>
      <c r="C14">
        <v>469.8</v>
      </c>
      <c r="D14">
        <f t="shared" si="0"/>
        <v>29.799914857386121</v>
      </c>
      <c r="F14" t="s">
        <v>55</v>
      </c>
      <c r="G14">
        <v>5</v>
      </c>
      <c r="H14">
        <v>437.9</v>
      </c>
      <c r="I14">
        <f t="shared" si="1"/>
        <v>11.418131993605847</v>
      </c>
      <c r="K14" t="s">
        <v>56</v>
      </c>
      <c r="L14">
        <v>16</v>
      </c>
      <c r="M14">
        <v>399.7</v>
      </c>
      <c r="N14">
        <f t="shared" si="2"/>
        <v>40.030022516887669</v>
      </c>
      <c r="Q14" s="10" t="s">
        <v>9</v>
      </c>
      <c r="R14" s="8">
        <v>29.1</v>
      </c>
      <c r="S14" s="8">
        <v>15.49</v>
      </c>
      <c r="T14" s="8">
        <v>26.17</v>
      </c>
      <c r="U14" s="50">
        <v>27.58</v>
      </c>
    </row>
    <row r="15" spans="1:21" x14ac:dyDescent="0.2">
      <c r="A15" t="s">
        <v>57</v>
      </c>
      <c r="B15">
        <v>10</v>
      </c>
      <c r="C15">
        <v>433</v>
      </c>
      <c r="D15">
        <f t="shared" si="0"/>
        <v>23.094688221709006</v>
      </c>
      <c r="F15" t="s">
        <v>58</v>
      </c>
      <c r="G15">
        <v>4</v>
      </c>
      <c r="H15">
        <v>389.2</v>
      </c>
      <c r="I15">
        <f t="shared" si="1"/>
        <v>10.277492291880781</v>
      </c>
      <c r="K15" t="s">
        <v>59</v>
      </c>
      <c r="L15">
        <v>22</v>
      </c>
      <c r="M15">
        <v>423.2</v>
      </c>
      <c r="N15">
        <f t="shared" si="2"/>
        <v>51.984877126654069</v>
      </c>
      <c r="Q15" s="10" t="s">
        <v>10</v>
      </c>
      <c r="R15" s="8">
        <v>3.77</v>
      </c>
      <c r="S15" s="8">
        <v>2.4990000000000001</v>
      </c>
      <c r="T15" s="8">
        <v>4.9740000000000002</v>
      </c>
      <c r="U15" s="50">
        <v>6.0709999999999997</v>
      </c>
    </row>
    <row r="16" spans="1:21" x14ac:dyDescent="0.2">
      <c r="A16" t="s">
        <v>60</v>
      </c>
      <c r="B16">
        <v>8</v>
      </c>
      <c r="C16">
        <v>402.1</v>
      </c>
      <c r="D16">
        <f t="shared" si="0"/>
        <v>19.895548371051976</v>
      </c>
      <c r="F16" t="s">
        <v>61</v>
      </c>
      <c r="G16">
        <v>10</v>
      </c>
      <c r="H16">
        <v>488.8</v>
      </c>
      <c r="I16">
        <f t="shared" si="1"/>
        <v>20.458265139116204</v>
      </c>
      <c r="Q16" s="10" t="s">
        <v>11</v>
      </c>
      <c r="R16" s="8">
        <v>1.6859999999999999</v>
      </c>
      <c r="S16" s="8">
        <v>1.02</v>
      </c>
      <c r="T16" s="8">
        <v>2.8719999999999999</v>
      </c>
      <c r="U16" s="50">
        <v>3.0350000000000001</v>
      </c>
    </row>
    <row r="17" spans="1:21" x14ac:dyDescent="0.2">
      <c r="A17" t="s">
        <v>62</v>
      </c>
      <c r="B17">
        <v>11</v>
      </c>
      <c r="C17">
        <v>477.6</v>
      </c>
      <c r="D17">
        <f t="shared" si="0"/>
        <v>23.031825795644888</v>
      </c>
      <c r="F17" t="s">
        <v>63</v>
      </c>
      <c r="G17">
        <v>9</v>
      </c>
      <c r="H17">
        <v>451</v>
      </c>
      <c r="I17">
        <f t="shared" si="1"/>
        <v>19.955654101995563</v>
      </c>
      <c r="Q17" s="61"/>
      <c r="U17" s="52"/>
    </row>
    <row r="18" spans="1:21" x14ac:dyDescent="0.2">
      <c r="A18" t="s">
        <v>64</v>
      </c>
      <c r="B18">
        <v>16</v>
      </c>
      <c r="C18">
        <v>478.1</v>
      </c>
      <c r="D18">
        <f t="shared" si="0"/>
        <v>33.465802133444882</v>
      </c>
      <c r="F18" t="s">
        <v>65</v>
      </c>
      <c r="G18">
        <v>6</v>
      </c>
      <c r="H18">
        <v>490.6</v>
      </c>
      <c r="I18">
        <f t="shared" si="1"/>
        <v>12.229922543823887</v>
      </c>
      <c r="Q18" s="61"/>
      <c r="U18" s="52"/>
    </row>
    <row r="19" spans="1:21" x14ac:dyDescent="0.2">
      <c r="A19" t="s">
        <v>66</v>
      </c>
      <c r="B19">
        <v>8</v>
      </c>
      <c r="C19">
        <v>443.9</v>
      </c>
      <c r="D19">
        <f t="shared" si="0"/>
        <v>18.022077044379365</v>
      </c>
      <c r="Q19" s="61"/>
      <c r="U19" s="52"/>
    </row>
    <row r="20" spans="1:21" x14ac:dyDescent="0.2">
      <c r="Q20" s="61"/>
      <c r="U20" s="52"/>
    </row>
    <row r="21" spans="1:21" x14ac:dyDescent="0.2">
      <c r="Q21" s="5"/>
      <c r="R21" s="1" t="s">
        <v>255</v>
      </c>
      <c r="S21" s="1" t="s">
        <v>256</v>
      </c>
      <c r="T21" s="1" t="s">
        <v>327</v>
      </c>
      <c r="U21" s="6" t="s">
        <v>268</v>
      </c>
    </row>
    <row r="22" spans="1:21" x14ac:dyDescent="0.2">
      <c r="Q22" s="5" t="s">
        <v>254</v>
      </c>
      <c r="R22" s="1" t="s">
        <v>286</v>
      </c>
      <c r="S22" s="1" t="s">
        <v>329</v>
      </c>
      <c r="T22" s="1" t="s">
        <v>330</v>
      </c>
      <c r="U22" s="6" t="s">
        <v>262</v>
      </c>
    </row>
    <row r="23" spans="1:21" x14ac:dyDescent="0.2">
      <c r="Q23" s="5" t="s">
        <v>259</v>
      </c>
      <c r="R23" s="1"/>
      <c r="S23" s="1" t="s">
        <v>260</v>
      </c>
      <c r="T23" s="1" t="s">
        <v>328</v>
      </c>
      <c r="U23" s="58" t="s">
        <v>329</v>
      </c>
    </row>
    <row r="24" spans="1:21" x14ac:dyDescent="0.2">
      <c r="Q24" s="61"/>
      <c r="U24" s="52"/>
    </row>
    <row r="25" spans="1:21" x14ac:dyDescent="0.2">
      <c r="Q25" s="61"/>
      <c r="U25" s="52"/>
    </row>
    <row r="26" spans="1:21" x14ac:dyDescent="0.2">
      <c r="D26">
        <f>AVERAGE(D4:D19)</f>
        <v>26.01912323383549</v>
      </c>
      <c r="I26">
        <f>AVERAGE(I4:I16)</f>
        <v>19.110392223790424</v>
      </c>
      <c r="N26">
        <f>AVERAGE(N4:N6,N8,N10:N13)</f>
        <v>28.769682009168456</v>
      </c>
      <c r="Q26" s="61"/>
      <c r="U26" s="52"/>
    </row>
    <row r="27" spans="1:21" ht="17" thickBot="1" x14ac:dyDescent="0.25">
      <c r="Q27" s="53"/>
      <c r="R27" s="54"/>
      <c r="S27" s="54"/>
      <c r="T27" s="54"/>
      <c r="U27" s="55"/>
    </row>
    <row r="33" spans="1:14" x14ac:dyDescent="0.2">
      <c r="A33" t="s">
        <v>67</v>
      </c>
      <c r="B33" t="s">
        <v>68</v>
      </c>
      <c r="D33" t="s">
        <v>69</v>
      </c>
      <c r="F33" t="s">
        <v>70</v>
      </c>
    </row>
    <row r="34" spans="1:14" x14ac:dyDescent="0.2">
      <c r="B34" t="s">
        <v>21</v>
      </c>
      <c r="C34" t="s">
        <v>22</v>
      </c>
      <c r="D34" t="s">
        <v>23</v>
      </c>
      <c r="G34" t="s">
        <v>21</v>
      </c>
      <c r="H34" t="s">
        <v>22</v>
      </c>
      <c r="I34" t="s">
        <v>23</v>
      </c>
      <c r="L34" t="s">
        <v>21</v>
      </c>
      <c r="M34" t="s">
        <v>22</v>
      </c>
      <c r="N34" t="s">
        <v>23</v>
      </c>
    </row>
    <row r="35" spans="1:14" x14ac:dyDescent="0.2">
      <c r="A35" t="s">
        <v>62</v>
      </c>
      <c r="B35">
        <v>13</v>
      </c>
      <c r="C35">
        <v>455.3</v>
      </c>
      <c r="D35">
        <f t="shared" ref="D35:D47" si="3">B35/(C35/1000)</f>
        <v>28.552602679551942</v>
      </c>
      <c r="F35" t="s">
        <v>61</v>
      </c>
      <c r="G35">
        <v>6</v>
      </c>
      <c r="H35">
        <v>415.9</v>
      </c>
      <c r="I35">
        <f t="shared" ref="I35:I51" si="4">G35/(H35/1000)</f>
        <v>14.42654484251022</v>
      </c>
      <c r="K35" t="s">
        <v>56</v>
      </c>
      <c r="L35">
        <v>11</v>
      </c>
      <c r="M35">
        <v>368.9</v>
      </c>
      <c r="N35">
        <f t="shared" ref="N35:N48" si="5">L35/(M35/1000)</f>
        <v>29.818378964489025</v>
      </c>
    </row>
    <row r="36" spans="1:14" x14ac:dyDescent="0.2">
      <c r="A36" t="s">
        <v>64</v>
      </c>
      <c r="B36">
        <v>9</v>
      </c>
      <c r="C36">
        <v>431.2</v>
      </c>
      <c r="D36">
        <f t="shared" si="3"/>
        <v>20.871985157699445</v>
      </c>
      <c r="F36" t="s">
        <v>63</v>
      </c>
      <c r="G36">
        <v>5</v>
      </c>
      <c r="H36">
        <v>377.9</v>
      </c>
      <c r="I36">
        <f t="shared" si="4"/>
        <v>13.231013495633768</v>
      </c>
      <c r="K36" t="s">
        <v>71</v>
      </c>
      <c r="L36">
        <v>12</v>
      </c>
      <c r="M36">
        <v>410.2</v>
      </c>
      <c r="N36">
        <f t="shared" si="5"/>
        <v>29.254022428083861</v>
      </c>
    </row>
    <row r="37" spans="1:14" x14ac:dyDescent="0.2">
      <c r="A37" t="s">
        <v>66</v>
      </c>
      <c r="B37">
        <v>14</v>
      </c>
      <c r="C37">
        <v>439.7</v>
      </c>
      <c r="D37">
        <f t="shared" si="3"/>
        <v>31.839890834659997</v>
      </c>
      <c r="F37" t="s">
        <v>65</v>
      </c>
      <c r="G37">
        <v>8</v>
      </c>
      <c r="H37">
        <v>382.3</v>
      </c>
      <c r="I37">
        <f t="shared" si="4"/>
        <v>20.925974365681402</v>
      </c>
      <c r="K37" t="s">
        <v>72</v>
      </c>
      <c r="L37">
        <v>10</v>
      </c>
      <c r="M37">
        <v>380</v>
      </c>
      <c r="N37">
        <f t="shared" si="5"/>
        <v>26.315789473684209</v>
      </c>
    </row>
    <row r="38" spans="1:14" x14ac:dyDescent="0.2">
      <c r="A38" t="s">
        <v>39</v>
      </c>
      <c r="B38">
        <v>15</v>
      </c>
      <c r="C38">
        <v>414.3</v>
      </c>
      <c r="D38">
        <f t="shared" si="3"/>
        <v>36.205648081100648</v>
      </c>
      <c r="F38" t="s">
        <v>37</v>
      </c>
      <c r="G38">
        <v>2</v>
      </c>
      <c r="H38">
        <v>442.1</v>
      </c>
      <c r="I38">
        <f t="shared" si="4"/>
        <v>4.5238633793259435</v>
      </c>
      <c r="K38" t="s">
        <v>41</v>
      </c>
      <c r="L38">
        <v>10</v>
      </c>
      <c r="M38">
        <v>384.6</v>
      </c>
      <c r="N38">
        <f t="shared" si="5"/>
        <v>26.001040041601666</v>
      </c>
    </row>
    <row r="39" spans="1:14" x14ac:dyDescent="0.2">
      <c r="A39" t="s">
        <v>42</v>
      </c>
      <c r="B39">
        <v>11</v>
      </c>
      <c r="C39">
        <v>412.9</v>
      </c>
      <c r="D39">
        <f t="shared" si="3"/>
        <v>26.640833131508842</v>
      </c>
      <c r="F39" t="s">
        <v>40</v>
      </c>
      <c r="G39">
        <v>7</v>
      </c>
      <c r="H39">
        <v>466.9</v>
      </c>
      <c r="I39">
        <f t="shared" si="4"/>
        <v>14.992503748125937</v>
      </c>
      <c r="K39" t="s">
        <v>73</v>
      </c>
      <c r="L39">
        <v>13</v>
      </c>
      <c r="M39">
        <v>439.5</v>
      </c>
      <c r="N39">
        <f t="shared" si="5"/>
        <v>29.579067121729238</v>
      </c>
    </row>
    <row r="40" spans="1:14" x14ac:dyDescent="0.2">
      <c r="A40" t="s">
        <v>45</v>
      </c>
      <c r="B40">
        <v>12</v>
      </c>
      <c r="C40">
        <v>374.7</v>
      </c>
      <c r="D40">
        <f t="shared" si="3"/>
        <v>32.025620496397117</v>
      </c>
      <c r="F40" t="s">
        <v>43</v>
      </c>
      <c r="G40">
        <v>4</v>
      </c>
      <c r="H40">
        <v>405.5</v>
      </c>
      <c r="I40">
        <f t="shared" si="4"/>
        <v>9.8643649815043144</v>
      </c>
      <c r="K40" t="s">
        <v>74</v>
      </c>
      <c r="L40">
        <v>14</v>
      </c>
      <c r="M40">
        <v>390</v>
      </c>
      <c r="N40">
        <f t="shared" si="5"/>
        <v>35.897435897435898</v>
      </c>
    </row>
    <row r="41" spans="1:14" x14ac:dyDescent="0.2">
      <c r="A41" t="s">
        <v>51</v>
      </c>
      <c r="B41">
        <v>16</v>
      </c>
      <c r="C41">
        <v>417.3</v>
      </c>
      <c r="D41">
        <f t="shared" si="3"/>
        <v>38.34172058471124</v>
      </c>
      <c r="F41" t="s">
        <v>75</v>
      </c>
      <c r="G41">
        <v>8</v>
      </c>
      <c r="H41">
        <v>454.9</v>
      </c>
      <c r="I41">
        <f t="shared" si="4"/>
        <v>17.586282699494397</v>
      </c>
      <c r="K41" t="s">
        <v>76</v>
      </c>
      <c r="L41">
        <v>11</v>
      </c>
      <c r="M41">
        <v>378.1</v>
      </c>
      <c r="N41">
        <f t="shared" si="5"/>
        <v>29.092832583972491</v>
      </c>
    </row>
    <row r="42" spans="1:14" x14ac:dyDescent="0.2">
      <c r="A42" t="s">
        <v>54</v>
      </c>
      <c r="B42">
        <v>17</v>
      </c>
      <c r="C42">
        <v>391.6</v>
      </c>
      <c r="D42">
        <f t="shared" si="3"/>
        <v>43.411644535240043</v>
      </c>
      <c r="F42" t="s">
        <v>77</v>
      </c>
      <c r="G42">
        <v>7</v>
      </c>
      <c r="H42">
        <v>394.5</v>
      </c>
      <c r="I42">
        <f t="shared" si="4"/>
        <v>17.743979721166031</v>
      </c>
      <c r="K42" t="s">
        <v>78</v>
      </c>
      <c r="L42">
        <v>12</v>
      </c>
      <c r="M42">
        <v>451.2</v>
      </c>
      <c r="N42">
        <f t="shared" si="5"/>
        <v>26.595744680851066</v>
      </c>
    </row>
    <row r="43" spans="1:14" x14ac:dyDescent="0.2">
      <c r="A43" t="s">
        <v>57</v>
      </c>
      <c r="B43">
        <v>13</v>
      </c>
      <c r="C43">
        <v>403.1</v>
      </c>
      <c r="D43">
        <f t="shared" si="3"/>
        <v>32.25006201935004</v>
      </c>
      <c r="F43" t="s">
        <v>79</v>
      </c>
      <c r="G43">
        <v>5</v>
      </c>
      <c r="H43">
        <v>376.2</v>
      </c>
      <c r="I43">
        <f t="shared" si="4"/>
        <v>13.290802764486976</v>
      </c>
      <c r="K43" t="s">
        <v>47</v>
      </c>
      <c r="L43">
        <v>12</v>
      </c>
      <c r="M43">
        <v>419.6</v>
      </c>
      <c r="N43">
        <f t="shared" si="5"/>
        <v>28.598665395614869</v>
      </c>
    </row>
    <row r="44" spans="1:14" x14ac:dyDescent="0.2">
      <c r="A44" t="s">
        <v>48</v>
      </c>
      <c r="B44">
        <v>18</v>
      </c>
      <c r="C44">
        <v>436.7</v>
      </c>
      <c r="D44">
        <f t="shared" si="3"/>
        <v>41.218227616212502</v>
      </c>
      <c r="F44" t="s">
        <v>80</v>
      </c>
      <c r="G44">
        <v>11</v>
      </c>
      <c r="H44">
        <v>380.6</v>
      </c>
      <c r="I44">
        <f t="shared" si="4"/>
        <v>28.901734104046238</v>
      </c>
      <c r="K44" t="s">
        <v>50</v>
      </c>
      <c r="L44">
        <v>12</v>
      </c>
      <c r="M44">
        <v>326</v>
      </c>
      <c r="N44">
        <f t="shared" si="5"/>
        <v>36.809815950920246</v>
      </c>
    </row>
    <row r="45" spans="1:14" x14ac:dyDescent="0.2">
      <c r="A45" t="s">
        <v>81</v>
      </c>
      <c r="B45">
        <v>10</v>
      </c>
      <c r="C45">
        <v>434.4</v>
      </c>
      <c r="D45">
        <f t="shared" si="3"/>
        <v>23.020257826887665</v>
      </c>
      <c r="F45" t="s">
        <v>52</v>
      </c>
      <c r="G45">
        <v>7</v>
      </c>
      <c r="H45">
        <v>394</v>
      </c>
      <c r="I45">
        <f t="shared" si="4"/>
        <v>17.766497461928932</v>
      </c>
      <c r="K45" t="s">
        <v>82</v>
      </c>
      <c r="L45">
        <v>14</v>
      </c>
      <c r="M45">
        <v>448.9</v>
      </c>
      <c r="N45">
        <f t="shared" si="5"/>
        <v>31.187346847850304</v>
      </c>
    </row>
    <row r="46" spans="1:14" x14ac:dyDescent="0.2">
      <c r="A46" t="s">
        <v>83</v>
      </c>
      <c r="B46">
        <v>18</v>
      </c>
      <c r="C46">
        <v>440.1</v>
      </c>
      <c r="D46">
        <f t="shared" si="3"/>
        <v>40.899795501022489</v>
      </c>
      <c r="F46" t="s">
        <v>55</v>
      </c>
      <c r="G46">
        <v>6</v>
      </c>
      <c r="H46">
        <v>369.4</v>
      </c>
      <c r="I46">
        <f t="shared" si="4"/>
        <v>16.242555495397944</v>
      </c>
      <c r="K46" t="s">
        <v>84</v>
      </c>
      <c r="L46">
        <v>11</v>
      </c>
      <c r="M46">
        <v>438.4</v>
      </c>
      <c r="N46">
        <f t="shared" si="5"/>
        <v>25.091240875912412</v>
      </c>
    </row>
    <row r="47" spans="1:14" x14ac:dyDescent="0.2">
      <c r="A47" t="s">
        <v>33</v>
      </c>
      <c r="B47">
        <v>17</v>
      </c>
      <c r="C47">
        <v>396.5</v>
      </c>
      <c r="D47">
        <f t="shared" si="3"/>
        <v>42.875157629255988</v>
      </c>
      <c r="F47" t="s">
        <v>58</v>
      </c>
      <c r="G47">
        <v>7</v>
      </c>
      <c r="H47">
        <v>374.6</v>
      </c>
      <c r="I47">
        <f t="shared" si="4"/>
        <v>18.686599038974904</v>
      </c>
      <c r="K47" t="s">
        <v>85</v>
      </c>
      <c r="L47">
        <v>13</v>
      </c>
      <c r="M47">
        <v>387.6</v>
      </c>
      <c r="N47">
        <f t="shared" si="5"/>
        <v>33.539731682146545</v>
      </c>
    </row>
    <row r="48" spans="1:14" x14ac:dyDescent="0.2">
      <c r="F48" t="s">
        <v>86</v>
      </c>
      <c r="G48">
        <v>8</v>
      </c>
      <c r="H48">
        <v>390.2</v>
      </c>
      <c r="I48">
        <f t="shared" si="4"/>
        <v>20.502306509482317</v>
      </c>
      <c r="K48" t="s">
        <v>87</v>
      </c>
      <c r="L48">
        <v>11</v>
      </c>
      <c r="M48">
        <v>382.5</v>
      </c>
      <c r="N48">
        <f t="shared" si="5"/>
        <v>28.758169934640524</v>
      </c>
    </row>
    <row r="49" spans="1:14" x14ac:dyDescent="0.2">
      <c r="F49" t="s">
        <v>88</v>
      </c>
      <c r="G49">
        <v>5</v>
      </c>
      <c r="H49">
        <v>379.1</v>
      </c>
      <c r="I49">
        <f t="shared" si="4"/>
        <v>13.189132155104193</v>
      </c>
    </row>
    <row r="50" spans="1:14" x14ac:dyDescent="0.2">
      <c r="F50" t="s">
        <v>89</v>
      </c>
      <c r="G50">
        <v>8</v>
      </c>
      <c r="H50">
        <v>420.7</v>
      </c>
      <c r="I50">
        <f t="shared" si="4"/>
        <v>19.015925837889235</v>
      </c>
    </row>
    <row r="51" spans="1:14" x14ac:dyDescent="0.2">
      <c r="F51" t="s">
        <v>49</v>
      </c>
      <c r="G51">
        <v>5</v>
      </c>
      <c r="H51">
        <v>416.9</v>
      </c>
      <c r="I51">
        <f t="shared" si="4"/>
        <v>11.993283761093787</v>
      </c>
    </row>
    <row r="57" spans="1:14" x14ac:dyDescent="0.2">
      <c r="D57">
        <f>AVERAGE(D35:D47)</f>
        <v>33.704111237969066</v>
      </c>
      <c r="I57">
        <f>AVERAGE(I35:I51)</f>
        <v>16.051962609520384</v>
      </c>
      <c r="N57">
        <f>AVERAGE(N35:N48)</f>
        <v>29.752805848495171</v>
      </c>
    </row>
    <row r="61" spans="1:14" x14ac:dyDescent="0.2">
      <c r="A61" t="s">
        <v>90</v>
      </c>
      <c r="B61" t="s">
        <v>91</v>
      </c>
      <c r="D61" t="s">
        <v>92</v>
      </c>
      <c r="F61" t="s">
        <v>93</v>
      </c>
    </row>
    <row r="62" spans="1:14" x14ac:dyDescent="0.2">
      <c r="B62" t="s">
        <v>21</v>
      </c>
      <c r="C62" t="s">
        <v>22</v>
      </c>
      <c r="D62" t="s">
        <v>23</v>
      </c>
      <c r="G62" t="s">
        <v>21</v>
      </c>
      <c r="H62" t="s">
        <v>22</v>
      </c>
      <c r="I62" t="s">
        <v>23</v>
      </c>
      <c r="L62" t="s">
        <v>21</v>
      </c>
      <c r="M62" t="s">
        <v>22</v>
      </c>
      <c r="N62" t="s">
        <v>23</v>
      </c>
    </row>
    <row r="63" spans="1:14" x14ac:dyDescent="0.2">
      <c r="A63" t="s">
        <v>45</v>
      </c>
      <c r="B63">
        <v>13</v>
      </c>
      <c r="C63">
        <v>378.3</v>
      </c>
      <c r="D63">
        <f t="shared" ref="D63:D72" si="6">B63/(C63/1000)</f>
        <v>34.364261168384878</v>
      </c>
      <c r="F63" t="s">
        <v>75</v>
      </c>
      <c r="G63">
        <v>10</v>
      </c>
      <c r="H63">
        <v>400.7</v>
      </c>
      <c r="I63">
        <f t="shared" ref="I63:I73" si="7">G63/(H63/1000)</f>
        <v>24.956326428749687</v>
      </c>
      <c r="K63" t="s">
        <v>74</v>
      </c>
      <c r="L63">
        <v>9</v>
      </c>
      <c r="M63">
        <v>387</v>
      </c>
      <c r="N63">
        <f t="shared" ref="N63:N70" si="8">L63/(M63/1000)</f>
        <v>23.255813953488371</v>
      </c>
    </row>
    <row r="64" spans="1:14" x14ac:dyDescent="0.2">
      <c r="A64" t="s">
        <v>42</v>
      </c>
      <c r="B64">
        <v>20</v>
      </c>
      <c r="C64">
        <v>528.6</v>
      </c>
      <c r="D64">
        <f t="shared" si="6"/>
        <v>37.835792659856217</v>
      </c>
      <c r="F64" t="s">
        <v>43</v>
      </c>
      <c r="G64">
        <v>7</v>
      </c>
      <c r="H64">
        <v>459.6</v>
      </c>
      <c r="I64">
        <f t="shared" si="7"/>
        <v>15.230635335073977</v>
      </c>
      <c r="K64" t="s">
        <v>73</v>
      </c>
      <c r="L64">
        <v>10</v>
      </c>
      <c r="M64">
        <v>407.7</v>
      </c>
      <c r="N64">
        <f t="shared" si="8"/>
        <v>24.527839097375519</v>
      </c>
    </row>
    <row r="65" spans="1:14" x14ac:dyDescent="0.2">
      <c r="A65" t="s">
        <v>39</v>
      </c>
      <c r="B65">
        <v>15</v>
      </c>
      <c r="C65">
        <v>372.7</v>
      </c>
      <c r="D65">
        <f t="shared" si="6"/>
        <v>40.246847330292461</v>
      </c>
      <c r="F65" t="s">
        <v>40</v>
      </c>
      <c r="G65">
        <v>3</v>
      </c>
      <c r="H65">
        <v>388.7</v>
      </c>
      <c r="I65">
        <f t="shared" si="7"/>
        <v>7.7180344738873172</v>
      </c>
      <c r="K65" t="s">
        <v>41</v>
      </c>
      <c r="L65">
        <v>22</v>
      </c>
      <c r="M65">
        <v>463.3</v>
      </c>
      <c r="N65">
        <f t="shared" si="8"/>
        <v>47.485430606518456</v>
      </c>
    </row>
    <row r="66" spans="1:14" x14ac:dyDescent="0.2">
      <c r="A66" t="s">
        <v>94</v>
      </c>
      <c r="B66">
        <v>11</v>
      </c>
      <c r="C66">
        <v>426.5</v>
      </c>
      <c r="D66">
        <f t="shared" si="6"/>
        <v>25.791324736225089</v>
      </c>
      <c r="F66" t="s">
        <v>37</v>
      </c>
      <c r="G66">
        <v>10</v>
      </c>
      <c r="H66">
        <v>466.5</v>
      </c>
      <c r="I66">
        <f t="shared" si="7"/>
        <v>21.436227224008572</v>
      </c>
      <c r="K66" t="s">
        <v>87</v>
      </c>
      <c r="L66">
        <v>20</v>
      </c>
      <c r="M66">
        <v>388.8</v>
      </c>
      <c r="N66">
        <f t="shared" si="8"/>
        <v>51.440329218106989</v>
      </c>
    </row>
    <row r="67" spans="1:14" x14ac:dyDescent="0.2">
      <c r="A67" t="s">
        <v>95</v>
      </c>
      <c r="B67">
        <v>5</v>
      </c>
      <c r="C67">
        <v>477.1</v>
      </c>
      <c r="D67">
        <f t="shared" si="6"/>
        <v>10.479983232026829</v>
      </c>
      <c r="F67" t="s">
        <v>96</v>
      </c>
      <c r="G67">
        <v>3</v>
      </c>
      <c r="H67">
        <v>383.6</v>
      </c>
      <c r="I67">
        <f t="shared" si="7"/>
        <v>7.8206465067778934</v>
      </c>
      <c r="K67" t="s">
        <v>85</v>
      </c>
      <c r="L67">
        <v>17</v>
      </c>
      <c r="M67">
        <v>384.9</v>
      </c>
      <c r="N67">
        <f t="shared" si="8"/>
        <v>44.167316186022347</v>
      </c>
    </row>
    <row r="68" spans="1:14" x14ac:dyDescent="0.2">
      <c r="A68" t="s">
        <v>97</v>
      </c>
      <c r="B68">
        <v>15</v>
      </c>
      <c r="C68">
        <v>497.6</v>
      </c>
      <c r="D68">
        <f t="shared" si="6"/>
        <v>30.144694533762056</v>
      </c>
      <c r="F68" t="s">
        <v>98</v>
      </c>
      <c r="G68">
        <v>4</v>
      </c>
      <c r="H68">
        <v>406.5</v>
      </c>
      <c r="I68">
        <f t="shared" si="7"/>
        <v>9.8400984009840098</v>
      </c>
      <c r="K68" t="s">
        <v>84</v>
      </c>
      <c r="L68">
        <v>9</v>
      </c>
      <c r="M68">
        <v>390.3</v>
      </c>
      <c r="N68">
        <f t="shared" si="8"/>
        <v>23.059185242121444</v>
      </c>
    </row>
    <row r="69" spans="1:14" x14ac:dyDescent="0.2">
      <c r="A69" t="s">
        <v>99</v>
      </c>
      <c r="B69">
        <v>16</v>
      </c>
      <c r="C69">
        <v>475.7</v>
      </c>
      <c r="D69">
        <f t="shared" si="6"/>
        <v>33.634643682993485</v>
      </c>
      <c r="F69" t="s">
        <v>100</v>
      </c>
      <c r="G69">
        <v>13</v>
      </c>
      <c r="H69">
        <v>399.2</v>
      </c>
      <c r="I69">
        <f t="shared" si="7"/>
        <v>32.565130260521045</v>
      </c>
      <c r="K69" t="s">
        <v>101</v>
      </c>
      <c r="L69">
        <v>14</v>
      </c>
      <c r="M69">
        <v>420.2</v>
      </c>
      <c r="N69">
        <f t="shared" si="8"/>
        <v>33.317467872441696</v>
      </c>
    </row>
    <row r="70" spans="1:14" x14ac:dyDescent="0.2">
      <c r="A70" t="s">
        <v>102</v>
      </c>
      <c r="B70">
        <v>14</v>
      </c>
      <c r="C70">
        <v>419.9</v>
      </c>
      <c r="D70">
        <f t="shared" si="6"/>
        <v>33.341271731364614</v>
      </c>
      <c r="F70" t="s">
        <v>103</v>
      </c>
      <c r="G70">
        <v>6</v>
      </c>
      <c r="H70">
        <v>418</v>
      </c>
      <c r="I70">
        <f t="shared" si="7"/>
        <v>14.354066985645934</v>
      </c>
      <c r="K70" t="s">
        <v>104</v>
      </c>
      <c r="L70">
        <v>10</v>
      </c>
      <c r="M70">
        <v>408.3</v>
      </c>
      <c r="N70">
        <f t="shared" si="8"/>
        <v>24.491795248591721</v>
      </c>
    </row>
    <row r="71" spans="1:14" x14ac:dyDescent="0.2">
      <c r="A71" t="s">
        <v>105</v>
      </c>
      <c r="B71">
        <v>10</v>
      </c>
      <c r="C71">
        <v>427.2</v>
      </c>
      <c r="D71">
        <f t="shared" si="6"/>
        <v>23.408239700374533</v>
      </c>
      <c r="F71" t="s">
        <v>106</v>
      </c>
      <c r="G71">
        <v>10</v>
      </c>
      <c r="H71">
        <v>479.7</v>
      </c>
      <c r="I71">
        <f t="shared" si="7"/>
        <v>20.846362309776943</v>
      </c>
    </row>
    <row r="72" spans="1:14" x14ac:dyDescent="0.2">
      <c r="A72" t="s">
        <v>107</v>
      </c>
      <c r="B72">
        <v>12</v>
      </c>
      <c r="C72">
        <v>488.6</v>
      </c>
      <c r="D72">
        <f t="shared" si="6"/>
        <v>24.559967253376993</v>
      </c>
      <c r="F72" t="s">
        <v>108</v>
      </c>
      <c r="G72">
        <v>6</v>
      </c>
      <c r="H72">
        <v>385.5</v>
      </c>
      <c r="I72">
        <f t="shared" si="7"/>
        <v>15.56420233463035</v>
      </c>
    </row>
    <row r="73" spans="1:14" x14ac:dyDescent="0.2">
      <c r="F73" t="s">
        <v>109</v>
      </c>
      <c r="G73">
        <v>6</v>
      </c>
      <c r="H73">
        <v>439.6</v>
      </c>
      <c r="I73">
        <f t="shared" si="7"/>
        <v>13.648771610555048</v>
      </c>
    </row>
    <row r="75" spans="1:14" x14ac:dyDescent="0.2">
      <c r="A75">
        <f>COUNT(D63:D72)</f>
        <v>10</v>
      </c>
      <c r="D75">
        <f>AVERAGE(D63:D73)</f>
        <v>29.380702602865711</v>
      </c>
      <c r="I75">
        <f>AVERAGE(I63:I73)</f>
        <v>16.725500170055525</v>
      </c>
      <c r="N75">
        <f>AVERAGE(N63:N73)</f>
        <v>33.968147178083314</v>
      </c>
    </row>
    <row r="82" spans="1:14" x14ac:dyDescent="0.2">
      <c r="A82" t="s">
        <v>110</v>
      </c>
      <c r="B82" t="s">
        <v>111</v>
      </c>
      <c r="D82" t="s">
        <v>112</v>
      </c>
      <c r="F82" t="s">
        <v>113</v>
      </c>
    </row>
    <row r="83" spans="1:14" x14ac:dyDescent="0.2">
      <c r="B83" t="s">
        <v>21</v>
      </c>
      <c r="C83" t="s">
        <v>22</v>
      </c>
      <c r="D83" t="s">
        <v>23</v>
      </c>
      <c r="G83" t="s">
        <v>21</v>
      </c>
      <c r="H83" t="s">
        <v>22</v>
      </c>
      <c r="I83" t="s">
        <v>23</v>
      </c>
      <c r="L83" t="s">
        <v>21</v>
      </c>
      <c r="M83" t="s">
        <v>22</v>
      </c>
      <c r="N83" t="s">
        <v>23</v>
      </c>
    </row>
    <row r="84" spans="1:14" x14ac:dyDescent="0.2">
      <c r="A84" t="s">
        <v>114</v>
      </c>
      <c r="B84">
        <v>5</v>
      </c>
      <c r="C84">
        <v>404.60399999999998</v>
      </c>
      <c r="D84">
        <f t="shared" ref="D84:D91" si="9">B84/(C84/1000)</f>
        <v>12.357762157566412</v>
      </c>
      <c r="F84" t="s">
        <v>61</v>
      </c>
      <c r="G84">
        <v>6</v>
      </c>
      <c r="H84">
        <v>451.40699999999998</v>
      </c>
      <c r="I84">
        <f t="shared" ref="I84:I91" si="10">G84/(H84/1000)</f>
        <v>13.291774385421581</v>
      </c>
      <c r="K84" t="s">
        <v>41</v>
      </c>
      <c r="L84">
        <v>14</v>
      </c>
      <c r="M84">
        <v>516.70000000000005</v>
      </c>
      <c r="N84">
        <f t="shared" ref="N84:N88" si="11">L84/(M84/1000)</f>
        <v>27.095026127346621</v>
      </c>
    </row>
    <row r="85" spans="1:14" x14ac:dyDescent="0.2">
      <c r="A85" t="s">
        <v>115</v>
      </c>
      <c r="B85">
        <v>7</v>
      </c>
      <c r="C85">
        <v>386.59800000000001</v>
      </c>
      <c r="D85">
        <f t="shared" si="9"/>
        <v>18.106663769600463</v>
      </c>
      <c r="F85" t="s">
        <v>63</v>
      </c>
      <c r="G85">
        <v>5</v>
      </c>
      <c r="H85">
        <v>414.55099999999999</v>
      </c>
      <c r="I85">
        <f t="shared" si="10"/>
        <v>12.061242163207904</v>
      </c>
      <c r="K85" t="s">
        <v>73</v>
      </c>
      <c r="L85">
        <v>14</v>
      </c>
      <c r="M85">
        <v>400.15699999999998</v>
      </c>
      <c r="N85">
        <f t="shared" si="11"/>
        <v>34.986267889853231</v>
      </c>
    </row>
    <row r="86" spans="1:14" x14ac:dyDescent="0.2">
      <c r="A86" t="s">
        <v>116</v>
      </c>
      <c r="B86">
        <v>10</v>
      </c>
      <c r="C86">
        <v>495.65600000000001</v>
      </c>
      <c r="D86">
        <f t="shared" si="9"/>
        <v>20.175282857465664</v>
      </c>
      <c r="F86" t="s">
        <v>65</v>
      </c>
      <c r="G86">
        <v>5</v>
      </c>
      <c r="H86">
        <v>468.82900000000001</v>
      </c>
      <c r="I86">
        <f t="shared" si="10"/>
        <v>10.664869280697227</v>
      </c>
      <c r="K86" t="s">
        <v>74</v>
      </c>
      <c r="L86">
        <v>9</v>
      </c>
      <c r="M86">
        <v>391.89699999999999</v>
      </c>
      <c r="N86">
        <f t="shared" si="11"/>
        <v>22.965217901642525</v>
      </c>
    </row>
    <row r="87" spans="1:14" x14ac:dyDescent="0.2">
      <c r="A87" t="s">
        <v>117</v>
      </c>
      <c r="B87">
        <v>13</v>
      </c>
      <c r="C87">
        <v>430.61700000000002</v>
      </c>
      <c r="D87">
        <f t="shared" si="9"/>
        <v>30.18924009038194</v>
      </c>
      <c r="F87" t="s">
        <v>118</v>
      </c>
      <c r="G87">
        <v>12</v>
      </c>
      <c r="H87">
        <v>405.31099999999998</v>
      </c>
      <c r="I87">
        <f t="shared" si="10"/>
        <v>29.606894458822978</v>
      </c>
      <c r="K87" t="s">
        <v>119</v>
      </c>
      <c r="L87">
        <v>11</v>
      </c>
      <c r="M87">
        <v>447.34199999999998</v>
      </c>
      <c r="N87">
        <f t="shared" si="11"/>
        <v>24.589687532134253</v>
      </c>
    </row>
    <row r="88" spans="1:14" x14ac:dyDescent="0.2">
      <c r="A88" t="s">
        <v>120</v>
      </c>
      <c r="B88">
        <v>10</v>
      </c>
      <c r="C88">
        <v>389.51600000000002</v>
      </c>
      <c r="D88">
        <f t="shared" si="9"/>
        <v>25.672886351266698</v>
      </c>
      <c r="F88" t="s">
        <v>121</v>
      </c>
      <c r="G88">
        <v>6</v>
      </c>
      <c r="H88">
        <v>422.5</v>
      </c>
      <c r="I88">
        <f t="shared" si="10"/>
        <v>14.201183431952662</v>
      </c>
      <c r="K88" t="s">
        <v>122</v>
      </c>
      <c r="L88">
        <v>13</v>
      </c>
      <c r="M88">
        <v>410.11200000000002</v>
      </c>
      <c r="N88">
        <f t="shared" si="11"/>
        <v>31.69865792759051</v>
      </c>
    </row>
    <row r="89" spans="1:14" x14ac:dyDescent="0.2">
      <c r="A89" t="s">
        <v>123</v>
      </c>
      <c r="B89">
        <v>13</v>
      </c>
      <c r="C89">
        <v>452.80500000000001</v>
      </c>
      <c r="D89">
        <f t="shared" si="9"/>
        <v>28.709930323207562</v>
      </c>
      <c r="F89" t="s">
        <v>124</v>
      </c>
      <c r="G89">
        <v>8</v>
      </c>
      <c r="H89">
        <v>405.87099999999998</v>
      </c>
      <c r="I89">
        <f t="shared" si="10"/>
        <v>19.710696255706864</v>
      </c>
    </row>
    <row r="90" spans="1:14" x14ac:dyDescent="0.2">
      <c r="A90" t="s">
        <v>125</v>
      </c>
      <c r="B90">
        <v>12</v>
      </c>
      <c r="C90">
        <v>472.81200000000001</v>
      </c>
      <c r="D90">
        <f t="shared" si="9"/>
        <v>25.380066495774219</v>
      </c>
      <c r="F90" t="s">
        <v>126</v>
      </c>
      <c r="G90">
        <v>2</v>
      </c>
      <c r="H90">
        <v>399.78300000000002</v>
      </c>
      <c r="I90">
        <f t="shared" si="10"/>
        <v>5.0027139723299889</v>
      </c>
    </row>
    <row r="91" spans="1:14" x14ac:dyDescent="0.2">
      <c r="A91" t="s">
        <v>127</v>
      </c>
      <c r="B91">
        <v>6</v>
      </c>
      <c r="C91">
        <v>422.923</v>
      </c>
      <c r="D91">
        <f t="shared" si="9"/>
        <v>14.186979662964653</v>
      </c>
      <c r="F91" t="s">
        <v>128</v>
      </c>
      <c r="G91">
        <v>6</v>
      </c>
      <c r="H91">
        <v>437.91399999999999</v>
      </c>
      <c r="I91">
        <f t="shared" si="10"/>
        <v>13.701320350571118</v>
      </c>
    </row>
    <row r="93" spans="1:14" x14ac:dyDescent="0.2">
      <c r="A93">
        <f>COUNT(D84:D91)</f>
        <v>8</v>
      </c>
      <c r="D93">
        <f>AVERAGE(D85:D90)</f>
        <v>24.70567831461609</v>
      </c>
      <c r="N93">
        <f>AVERAGE(N84:N91)</f>
        <v>28.266971475713426</v>
      </c>
    </row>
    <row r="94" spans="1:14" x14ac:dyDescent="0.2">
      <c r="I94">
        <f>AVERAGE(I84:I92)</f>
        <v>14.780086787338789</v>
      </c>
    </row>
    <row r="102" spans="1:14" x14ac:dyDescent="0.2">
      <c r="A102" t="s">
        <v>110</v>
      </c>
      <c r="B102" t="s">
        <v>111</v>
      </c>
      <c r="D102" t="s">
        <v>112</v>
      </c>
    </row>
    <row r="103" spans="1:14" x14ac:dyDescent="0.2">
      <c r="B103" t="s">
        <v>21</v>
      </c>
      <c r="C103" t="s">
        <v>22</v>
      </c>
      <c r="D103" t="s">
        <v>23</v>
      </c>
      <c r="F103" t="s">
        <v>129</v>
      </c>
      <c r="L103" t="s">
        <v>21</v>
      </c>
      <c r="M103" t="s">
        <v>22</v>
      </c>
      <c r="N103" t="s">
        <v>23</v>
      </c>
    </row>
    <row r="104" spans="1:14" x14ac:dyDescent="0.2">
      <c r="A104" t="s">
        <v>130</v>
      </c>
      <c r="B104">
        <v>9</v>
      </c>
      <c r="C104">
        <v>375.072</v>
      </c>
      <c r="D104">
        <f t="shared" ref="D104:D111" si="12">B104/(C104/1000)</f>
        <v>23.995392884566161</v>
      </c>
      <c r="G104" t="s">
        <v>21</v>
      </c>
      <c r="H104" t="s">
        <v>22</v>
      </c>
      <c r="I104" t="s">
        <v>23</v>
      </c>
      <c r="K104" t="s">
        <v>131</v>
      </c>
      <c r="L104">
        <v>9</v>
      </c>
      <c r="M104">
        <v>446.65499999999997</v>
      </c>
      <c r="N104">
        <f t="shared" ref="N104:N111" si="13">L104/(M104/1000)</f>
        <v>20.149780031567989</v>
      </c>
    </row>
    <row r="105" spans="1:14" x14ac:dyDescent="0.2">
      <c r="A105" t="s">
        <v>132</v>
      </c>
      <c r="B105">
        <v>13</v>
      </c>
      <c r="C105">
        <v>455.52199999999999</v>
      </c>
      <c r="D105">
        <f t="shared" si="12"/>
        <v>28.538687483809785</v>
      </c>
      <c r="F105" t="s">
        <v>28</v>
      </c>
      <c r="G105">
        <v>5</v>
      </c>
      <c r="H105">
        <v>381.65300000000002</v>
      </c>
      <c r="I105">
        <f t="shared" ref="I105:I111" si="14">G105/(H105/1000)</f>
        <v>13.100905796626778</v>
      </c>
      <c r="K105" t="s">
        <v>133</v>
      </c>
      <c r="L105">
        <v>10</v>
      </c>
      <c r="M105">
        <v>524.95100000000002</v>
      </c>
      <c r="N105">
        <f t="shared" si="13"/>
        <v>19.049396991338238</v>
      </c>
    </row>
    <row r="106" spans="1:14" x14ac:dyDescent="0.2">
      <c r="A106" t="s">
        <v>134</v>
      </c>
      <c r="B106">
        <v>11</v>
      </c>
      <c r="C106">
        <v>411.39800000000002</v>
      </c>
      <c r="D106">
        <f t="shared" si="12"/>
        <v>26.738097900330093</v>
      </c>
      <c r="F106" t="s">
        <v>31</v>
      </c>
      <c r="G106">
        <v>7</v>
      </c>
      <c r="H106">
        <v>447.06900000000002</v>
      </c>
      <c r="I106">
        <f t="shared" si="14"/>
        <v>15.657538321825044</v>
      </c>
      <c r="K106" t="s">
        <v>135</v>
      </c>
      <c r="L106">
        <v>12</v>
      </c>
      <c r="M106">
        <v>429.15600000000001</v>
      </c>
      <c r="N106">
        <f t="shared" si="13"/>
        <v>27.961860022928725</v>
      </c>
    </row>
    <row r="107" spans="1:14" x14ac:dyDescent="0.2">
      <c r="A107" t="s">
        <v>136</v>
      </c>
      <c r="B107">
        <v>12</v>
      </c>
      <c r="C107">
        <v>401.25299999999999</v>
      </c>
      <c r="D107">
        <f t="shared" si="12"/>
        <v>29.906318457432096</v>
      </c>
      <c r="F107" t="s">
        <v>34</v>
      </c>
      <c r="G107">
        <v>4</v>
      </c>
      <c r="H107">
        <v>392.68900000000002</v>
      </c>
      <c r="I107">
        <f t="shared" si="14"/>
        <v>10.186177865944806</v>
      </c>
      <c r="K107" t="s">
        <v>137</v>
      </c>
      <c r="L107">
        <v>12</v>
      </c>
      <c r="M107">
        <v>396.27800000000002</v>
      </c>
      <c r="N107">
        <f t="shared" si="13"/>
        <v>30.281771887412372</v>
      </c>
    </row>
    <row r="108" spans="1:14" x14ac:dyDescent="0.2">
      <c r="A108" t="s">
        <v>138</v>
      </c>
      <c r="B108">
        <v>12</v>
      </c>
      <c r="C108">
        <v>411.04</v>
      </c>
      <c r="D108">
        <f t="shared" si="12"/>
        <v>29.194239003503309</v>
      </c>
      <c r="F108" t="s">
        <v>139</v>
      </c>
      <c r="G108">
        <v>1</v>
      </c>
      <c r="H108">
        <v>399.31299999999999</v>
      </c>
      <c r="I108">
        <f t="shared" si="14"/>
        <v>2.5043011372031465</v>
      </c>
      <c r="K108" t="s">
        <v>140</v>
      </c>
      <c r="L108">
        <v>11</v>
      </c>
      <c r="M108">
        <v>416.13</v>
      </c>
      <c r="N108">
        <f t="shared" si="13"/>
        <v>26.434047052603752</v>
      </c>
    </row>
    <row r="109" spans="1:14" x14ac:dyDescent="0.2">
      <c r="A109" t="s">
        <v>141</v>
      </c>
      <c r="B109">
        <v>10</v>
      </c>
      <c r="C109">
        <v>378.25700000000001</v>
      </c>
      <c r="D109">
        <f t="shared" si="12"/>
        <v>26.437052057199207</v>
      </c>
      <c r="F109" t="s">
        <v>142</v>
      </c>
      <c r="G109">
        <v>5</v>
      </c>
      <c r="H109">
        <v>410.81</v>
      </c>
      <c r="I109">
        <f t="shared" si="14"/>
        <v>12.171076653440764</v>
      </c>
      <c r="K109" t="s">
        <v>143</v>
      </c>
      <c r="L109">
        <v>12</v>
      </c>
      <c r="M109">
        <v>390.03199999999998</v>
      </c>
      <c r="N109">
        <f t="shared" si="13"/>
        <v>30.766706321532592</v>
      </c>
    </row>
    <row r="110" spans="1:14" x14ac:dyDescent="0.2">
      <c r="A110" t="s">
        <v>144</v>
      </c>
      <c r="B110">
        <v>19</v>
      </c>
      <c r="C110">
        <v>399.87400000000002</v>
      </c>
      <c r="D110">
        <f t="shared" si="12"/>
        <v>47.514967214672623</v>
      </c>
      <c r="F110" t="s">
        <v>145</v>
      </c>
      <c r="G110">
        <v>5</v>
      </c>
      <c r="H110">
        <v>411.86700000000002</v>
      </c>
      <c r="I110">
        <f t="shared" si="14"/>
        <v>12.139841259435691</v>
      </c>
      <c r="K110" t="s">
        <v>146</v>
      </c>
      <c r="L110">
        <v>13</v>
      </c>
      <c r="M110">
        <v>433.988</v>
      </c>
      <c r="N110">
        <f t="shared" si="13"/>
        <v>29.954745292496568</v>
      </c>
    </row>
    <row r="111" spans="1:14" x14ac:dyDescent="0.2">
      <c r="A111" t="s">
        <v>147</v>
      </c>
      <c r="B111">
        <v>16</v>
      </c>
      <c r="C111">
        <v>387.22500000000002</v>
      </c>
      <c r="D111">
        <f t="shared" si="12"/>
        <v>41.319646200529405</v>
      </c>
      <c r="F111" t="s">
        <v>148</v>
      </c>
      <c r="G111">
        <v>7</v>
      </c>
      <c r="H111">
        <v>450.89299999999997</v>
      </c>
      <c r="I111">
        <f t="shared" si="14"/>
        <v>15.524747556515626</v>
      </c>
      <c r="K111" t="s">
        <v>149</v>
      </c>
      <c r="L111">
        <v>18</v>
      </c>
      <c r="M111">
        <v>436.03100000000001</v>
      </c>
      <c r="N111">
        <f t="shared" si="13"/>
        <v>41.281468519440132</v>
      </c>
    </row>
    <row r="113" spans="1:19" x14ac:dyDescent="0.2">
      <c r="A113">
        <f>COUNT(D104:D111)</f>
        <v>8</v>
      </c>
      <c r="D113">
        <f>AVERAGE(D104:D111)</f>
        <v>31.705550150255334</v>
      </c>
      <c r="N113">
        <f>AVERAGE(N104:N111)</f>
        <v>28.234972014915044</v>
      </c>
    </row>
    <row r="114" spans="1:19" x14ac:dyDescent="0.2">
      <c r="I114">
        <f>AVERAGE(I105:I112)</f>
        <v>11.612084084427408</v>
      </c>
    </row>
    <row r="117" spans="1:19" x14ac:dyDescent="0.2">
      <c r="A117" t="s">
        <v>150</v>
      </c>
      <c r="B117" t="s">
        <v>151</v>
      </c>
      <c r="D117" t="s">
        <v>152</v>
      </c>
      <c r="K117" t="s">
        <v>153</v>
      </c>
    </row>
    <row r="118" spans="1:19" x14ac:dyDescent="0.2">
      <c r="B118" t="s">
        <v>21</v>
      </c>
      <c r="C118" t="s">
        <v>22</v>
      </c>
      <c r="D118" t="s">
        <v>23</v>
      </c>
      <c r="F118" t="s">
        <v>154</v>
      </c>
      <c r="L118" t="s">
        <v>21</v>
      </c>
      <c r="M118" t="s">
        <v>22</v>
      </c>
      <c r="N118" t="s">
        <v>23</v>
      </c>
      <c r="P118" t="s">
        <v>155</v>
      </c>
    </row>
    <row r="119" spans="1:19" x14ac:dyDescent="0.2">
      <c r="G119" t="s">
        <v>21</v>
      </c>
      <c r="H119" t="s">
        <v>22</v>
      </c>
      <c r="I119" t="s">
        <v>23</v>
      </c>
      <c r="K119" t="s">
        <v>156</v>
      </c>
      <c r="L119">
        <v>11</v>
      </c>
      <c r="M119">
        <v>412.88</v>
      </c>
      <c r="N119">
        <f t="shared" ref="N119:N122" si="15">L119/(M119/1000)</f>
        <v>26.642123619453596</v>
      </c>
      <c r="P119" t="s">
        <v>157</v>
      </c>
    </row>
    <row r="120" spans="1:19" x14ac:dyDescent="0.2">
      <c r="F120" t="s">
        <v>158</v>
      </c>
      <c r="G120">
        <v>5</v>
      </c>
      <c r="H120">
        <v>420.77800000000002</v>
      </c>
      <c r="I120">
        <f t="shared" ref="I120:I126" si="16">G120/(H120/1000)</f>
        <v>11.882750524029296</v>
      </c>
      <c r="K120" t="s">
        <v>159</v>
      </c>
      <c r="L120">
        <v>8</v>
      </c>
      <c r="M120">
        <v>378.90699999999998</v>
      </c>
      <c r="N120">
        <f t="shared" si="15"/>
        <v>21.113360270462145</v>
      </c>
      <c r="P120" t="s">
        <v>160</v>
      </c>
    </row>
    <row r="121" spans="1:19" x14ac:dyDescent="0.2">
      <c r="F121" t="s">
        <v>161</v>
      </c>
      <c r="G121">
        <v>7</v>
      </c>
      <c r="H121">
        <v>379.55799999999999</v>
      </c>
      <c r="I121">
        <f t="shared" si="16"/>
        <v>18.442504175909875</v>
      </c>
      <c r="K121" t="s">
        <v>162</v>
      </c>
      <c r="L121">
        <v>6</v>
      </c>
      <c r="M121">
        <v>451.91899999999998</v>
      </c>
      <c r="N121">
        <f t="shared" si="15"/>
        <v>13.276715517603819</v>
      </c>
      <c r="P121" t="s">
        <v>163</v>
      </c>
    </row>
    <row r="122" spans="1:19" x14ac:dyDescent="0.2">
      <c r="F122" t="s">
        <v>164</v>
      </c>
      <c r="G122">
        <v>9</v>
      </c>
      <c r="H122">
        <v>385.74799999999999</v>
      </c>
      <c r="I122">
        <f t="shared" si="16"/>
        <v>23.331294005412861</v>
      </c>
      <c r="K122" t="s">
        <v>165</v>
      </c>
      <c r="L122">
        <v>8</v>
      </c>
      <c r="M122">
        <v>382.13900000000001</v>
      </c>
      <c r="N122">
        <f t="shared" si="15"/>
        <v>20.934790743682271</v>
      </c>
    </row>
    <row r="123" spans="1:19" x14ac:dyDescent="0.2">
      <c r="F123" t="s">
        <v>166</v>
      </c>
      <c r="G123">
        <v>5</v>
      </c>
      <c r="H123">
        <v>380.69799999999998</v>
      </c>
      <c r="I123">
        <f t="shared" si="16"/>
        <v>13.133770074967559</v>
      </c>
    </row>
    <row r="124" spans="1:19" x14ac:dyDescent="0.2">
      <c r="F124" t="s">
        <v>167</v>
      </c>
      <c r="G124">
        <v>5</v>
      </c>
      <c r="H124">
        <v>421.49200000000002</v>
      </c>
      <c r="I124">
        <f t="shared" si="16"/>
        <v>11.862621354616456</v>
      </c>
      <c r="Q124">
        <v>7</v>
      </c>
      <c r="R124">
        <v>418.96</v>
      </c>
      <c r="S124">
        <f t="shared" ref="S124:S127" si="17">Q124/(R124/1000)</f>
        <v>16.708038953599388</v>
      </c>
    </row>
    <row r="125" spans="1:19" x14ac:dyDescent="0.2">
      <c r="F125" t="s">
        <v>168</v>
      </c>
      <c r="G125">
        <v>4</v>
      </c>
      <c r="H125">
        <v>379.80900000000003</v>
      </c>
      <c r="I125">
        <f t="shared" si="16"/>
        <v>10.531609308889468</v>
      </c>
      <c r="Q125">
        <v>8</v>
      </c>
      <c r="R125">
        <v>456.59</v>
      </c>
      <c r="S125">
        <f t="shared" si="17"/>
        <v>17.521189688779867</v>
      </c>
    </row>
    <row r="126" spans="1:19" x14ac:dyDescent="0.2">
      <c r="F126" t="s">
        <v>169</v>
      </c>
      <c r="G126">
        <v>6</v>
      </c>
      <c r="H126">
        <v>452.43200000000002</v>
      </c>
      <c r="I126">
        <f t="shared" si="16"/>
        <v>13.261661420942815</v>
      </c>
      <c r="Q126">
        <v>3</v>
      </c>
      <c r="R126">
        <v>390.74299999999999</v>
      </c>
      <c r="S126">
        <f t="shared" si="17"/>
        <v>7.6776807262062272</v>
      </c>
    </row>
    <row r="127" spans="1:19" x14ac:dyDescent="0.2">
      <c r="P127">
        <f>COUNT(S124:S131)</f>
        <v>4</v>
      </c>
      <c r="Q127">
        <v>11</v>
      </c>
      <c r="R127">
        <v>462.41</v>
      </c>
      <c r="S127">
        <f t="shared" si="17"/>
        <v>23.788412880344282</v>
      </c>
    </row>
    <row r="129" spans="9:19" x14ac:dyDescent="0.2">
      <c r="I129">
        <f>AVERAGE(I120:I127)</f>
        <v>14.63517298068119</v>
      </c>
      <c r="N129">
        <f>AVERAGE(N119:N127)</f>
        <v>20.491747537800457</v>
      </c>
    </row>
    <row r="133" spans="9:19" x14ac:dyDescent="0.2">
      <c r="S133">
        <f>AVERAGE(S124:S125,S127)</f>
        <v>19.339213840907846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334B-4700-A443-A0AF-DAF2181F530A}">
  <dimension ref="A1:V70"/>
  <sheetViews>
    <sheetView workbookViewId="0">
      <selection activeCell="J13" sqref="J13"/>
    </sheetView>
  </sheetViews>
  <sheetFormatPr baseColWidth="10" defaultRowHeight="16" x14ac:dyDescent="0.2"/>
  <cols>
    <col min="1" max="1" width="14.33203125" customWidth="1"/>
    <col min="3" max="3" width="14.33203125" bestFit="1" customWidth="1"/>
  </cols>
  <sheetData>
    <row r="1" spans="1:5" ht="24" x14ac:dyDescent="0.3">
      <c r="A1" s="92" t="s">
        <v>497</v>
      </c>
      <c r="B1" s="93"/>
      <c r="C1" s="93"/>
      <c r="D1" s="93"/>
      <c r="E1" s="51"/>
    </row>
    <row r="2" spans="1:5" x14ac:dyDescent="0.2">
      <c r="A2" s="61" t="s">
        <v>363</v>
      </c>
      <c r="B2">
        <v>5</v>
      </c>
      <c r="C2">
        <v>7</v>
      </c>
      <c r="D2">
        <v>9</v>
      </c>
      <c r="E2" s="52"/>
    </row>
    <row r="3" spans="1:5" x14ac:dyDescent="0.2">
      <c r="A3" s="61"/>
      <c r="B3" s="7" t="s">
        <v>0</v>
      </c>
      <c r="C3" s="7" t="s">
        <v>1</v>
      </c>
      <c r="D3" s="7" t="s">
        <v>2</v>
      </c>
      <c r="E3" s="52"/>
    </row>
    <row r="4" spans="1:5" x14ac:dyDescent="0.2">
      <c r="A4" s="61"/>
      <c r="B4" s="8">
        <v>9.0365379999999995E-2</v>
      </c>
      <c r="C4" s="8">
        <v>2.43278E-2</v>
      </c>
      <c r="D4" s="8">
        <v>0.12518728000000001</v>
      </c>
      <c r="E4" s="52"/>
    </row>
    <row r="5" spans="1:5" x14ac:dyDescent="0.2">
      <c r="A5" s="61"/>
      <c r="B5" s="8">
        <v>6.9898600000000005E-2</v>
      </c>
      <c r="C5" s="8">
        <v>5.5426330000000003E-2</v>
      </c>
      <c r="D5" s="8">
        <v>5.8323E-2</v>
      </c>
      <c r="E5" s="52"/>
    </row>
    <row r="6" spans="1:5" x14ac:dyDescent="0.2">
      <c r="A6" s="61"/>
      <c r="B6" s="8">
        <v>9.1788049999999996E-2</v>
      </c>
      <c r="C6" s="8">
        <v>2.289333E-2</v>
      </c>
      <c r="D6" s="8">
        <v>2.8526349999999999E-2</v>
      </c>
      <c r="E6" s="52"/>
    </row>
    <row r="7" spans="1:5" x14ac:dyDescent="0.2">
      <c r="A7" s="61"/>
      <c r="B7" s="8">
        <v>2.7996650000000001E-2</v>
      </c>
      <c r="C7" s="8">
        <v>2.8187380000000001E-2</v>
      </c>
      <c r="D7" s="8">
        <v>7.4421119999999993E-2</v>
      </c>
      <c r="E7" s="52"/>
    </row>
    <row r="8" spans="1:5" x14ac:dyDescent="0.2">
      <c r="A8" s="61"/>
      <c r="B8" s="8">
        <v>5.892911E-2</v>
      </c>
      <c r="C8" s="8">
        <v>2.675609E-2</v>
      </c>
      <c r="D8" s="8">
        <v>6.0709810000000003E-2</v>
      </c>
      <c r="E8" s="52"/>
    </row>
    <row r="9" spans="1:5" x14ac:dyDescent="0.2">
      <c r="A9" s="61"/>
      <c r="B9" s="8"/>
      <c r="C9" s="8">
        <v>8.9117799999999994E-3</v>
      </c>
      <c r="D9" s="8">
        <v>8.3268980000000006E-2</v>
      </c>
      <c r="E9" s="52"/>
    </row>
    <row r="10" spans="1:5" x14ac:dyDescent="0.2">
      <c r="A10" s="61"/>
      <c r="B10" s="8"/>
      <c r="C10" s="8">
        <v>1.8705969999999999E-2</v>
      </c>
      <c r="D10" s="8">
        <v>5.0283960000000003E-2</v>
      </c>
      <c r="E10" s="52"/>
    </row>
    <row r="11" spans="1:5" x14ac:dyDescent="0.2">
      <c r="A11" s="61"/>
      <c r="B11" s="8"/>
      <c r="C11" s="8"/>
      <c r="D11" s="8">
        <v>6.6457870000000002E-2</v>
      </c>
      <c r="E11" s="52"/>
    </row>
    <row r="12" spans="1:5" x14ac:dyDescent="0.2">
      <c r="A12" s="61"/>
      <c r="B12" s="8"/>
      <c r="C12" s="8"/>
      <c r="D12" s="8">
        <v>5.4233999999999997E-2</v>
      </c>
      <c r="E12" s="52"/>
    </row>
    <row r="13" spans="1:5" x14ac:dyDescent="0.2">
      <c r="A13" s="65"/>
      <c r="B13" s="8"/>
      <c r="C13" s="8"/>
      <c r="E13" s="52"/>
    </row>
    <row r="14" spans="1:5" x14ac:dyDescent="0.2">
      <c r="A14" s="10" t="s">
        <v>9</v>
      </c>
      <c r="B14" s="8">
        <v>6.7799999999999999E-2</v>
      </c>
      <c r="C14" s="8">
        <v>2.6460000000000001E-2</v>
      </c>
      <c r="D14" s="8">
        <v>6.6820000000000004E-2</v>
      </c>
      <c r="E14" s="50"/>
    </row>
    <row r="15" spans="1:5" x14ac:dyDescent="0.2">
      <c r="A15" s="10" t="s">
        <v>10</v>
      </c>
      <c r="B15" s="8">
        <v>2.623E-2</v>
      </c>
      <c r="C15" s="8">
        <v>1.43E-2</v>
      </c>
      <c r="D15" s="8">
        <v>2.6790000000000001E-2</v>
      </c>
      <c r="E15" s="50"/>
    </row>
    <row r="16" spans="1:5" x14ac:dyDescent="0.2">
      <c r="A16" s="10" t="s">
        <v>11</v>
      </c>
      <c r="B16" s="8">
        <v>1.1730000000000001E-2</v>
      </c>
      <c r="C16" s="8">
        <v>5.4060000000000002E-3</v>
      </c>
      <c r="D16" s="8">
        <v>8.9309999999999997E-3</v>
      </c>
      <c r="E16" s="50"/>
    </row>
    <row r="17" spans="1:21" x14ac:dyDescent="0.2">
      <c r="A17" s="61"/>
      <c r="E17" s="52"/>
    </row>
    <row r="18" spans="1:21" x14ac:dyDescent="0.2">
      <c r="A18" s="61"/>
      <c r="E18" s="52"/>
    </row>
    <row r="19" spans="1:21" x14ac:dyDescent="0.2">
      <c r="A19" s="61"/>
      <c r="E19" s="52"/>
    </row>
    <row r="20" spans="1:21" x14ac:dyDescent="0.2">
      <c r="A20" s="61"/>
      <c r="E20" s="52"/>
    </row>
    <row r="21" spans="1:21" x14ac:dyDescent="0.2">
      <c r="A21" s="5"/>
      <c r="B21" s="1" t="s">
        <v>255</v>
      </c>
      <c r="C21" s="1" t="s">
        <v>256</v>
      </c>
      <c r="D21" s="1" t="s">
        <v>327</v>
      </c>
      <c r="E21" s="6"/>
    </row>
    <row r="22" spans="1:21" x14ac:dyDescent="0.2">
      <c r="A22" s="5" t="s">
        <v>254</v>
      </c>
      <c r="B22" s="1" t="s">
        <v>364</v>
      </c>
      <c r="C22" s="1" t="s">
        <v>366</v>
      </c>
      <c r="D22" s="1" t="s">
        <v>367</v>
      </c>
      <c r="E22" s="6"/>
    </row>
    <row r="23" spans="1:21" ht="17" thickBot="1" x14ac:dyDescent="0.25">
      <c r="A23" s="11" t="s">
        <v>259</v>
      </c>
      <c r="B23" s="12"/>
      <c r="C23" s="12" t="s">
        <v>275</v>
      </c>
      <c r="D23" s="12" t="s">
        <v>365</v>
      </c>
      <c r="E23" s="66"/>
    </row>
    <row r="25" spans="1:21" x14ac:dyDescent="0.2">
      <c r="A25" s="64" t="s">
        <v>331</v>
      </c>
      <c r="B25" t="s">
        <v>332</v>
      </c>
      <c r="C25" t="s">
        <v>9</v>
      </c>
      <c r="D25" t="s">
        <v>333</v>
      </c>
      <c r="E25" t="s">
        <v>334</v>
      </c>
      <c r="F25" t="s">
        <v>335</v>
      </c>
      <c r="G25" t="s">
        <v>336</v>
      </c>
      <c r="H25" s="64" t="s">
        <v>337</v>
      </c>
      <c r="I25" t="s">
        <v>332</v>
      </c>
      <c r="J25" t="s">
        <v>9</v>
      </c>
      <c r="K25" t="s">
        <v>333</v>
      </c>
      <c r="L25" t="s">
        <v>334</v>
      </c>
      <c r="M25" t="s">
        <v>335</v>
      </c>
      <c r="N25" t="s">
        <v>336</v>
      </c>
      <c r="O25" s="64" t="s">
        <v>338</v>
      </c>
      <c r="P25" t="s">
        <v>9</v>
      </c>
      <c r="Q25" t="s">
        <v>335</v>
      </c>
      <c r="R25" t="s">
        <v>336</v>
      </c>
      <c r="T25" t="s">
        <v>339</v>
      </c>
      <c r="U25" t="s">
        <v>340</v>
      </c>
    </row>
    <row r="26" spans="1:21" x14ac:dyDescent="0.2">
      <c r="H26" s="64"/>
    </row>
    <row r="27" spans="1:21" x14ac:dyDescent="0.2">
      <c r="A27" t="s">
        <v>341</v>
      </c>
      <c r="B27">
        <v>70636.983999999997</v>
      </c>
      <c r="C27">
        <v>6.4969999999999999</v>
      </c>
      <c r="D27">
        <v>0</v>
      </c>
      <c r="E27">
        <v>255</v>
      </c>
      <c r="F27">
        <v>458916.32699999999</v>
      </c>
      <c r="G27">
        <v>17569755</v>
      </c>
      <c r="I27">
        <v>70636.983999999997</v>
      </c>
      <c r="J27">
        <v>71.897000000000006</v>
      </c>
      <c r="K27">
        <v>0</v>
      </c>
      <c r="L27">
        <v>255</v>
      </c>
      <c r="M27">
        <v>5078600.3640000001</v>
      </c>
      <c r="N27">
        <v>194435802</v>
      </c>
      <c r="P27">
        <f>C27/J27</f>
        <v>9.0365383812954642E-2</v>
      </c>
      <c r="Q27">
        <f>F27/M27</f>
        <v>9.0362756292670557E-2</v>
      </c>
      <c r="R27">
        <f>G27/N27</f>
        <v>9.0362756340522099E-2</v>
      </c>
      <c r="T27">
        <f>F27/$F$33</f>
        <v>1.9721869994926267</v>
      </c>
      <c r="U27">
        <f>G27/$G$33</f>
        <v>1.973878715650998</v>
      </c>
    </row>
    <row r="28" spans="1:21" x14ac:dyDescent="0.2">
      <c r="A28" t="s">
        <v>342</v>
      </c>
      <c r="B28">
        <v>49217.131999999998</v>
      </c>
      <c r="C28">
        <v>3.681</v>
      </c>
      <c r="D28">
        <v>0</v>
      </c>
      <c r="E28">
        <v>255</v>
      </c>
      <c r="F28">
        <v>181185.46400000001</v>
      </c>
      <c r="G28">
        <v>6908715</v>
      </c>
      <c r="I28">
        <v>49217.131999999998</v>
      </c>
      <c r="J28">
        <v>52.661999999999999</v>
      </c>
      <c r="K28">
        <v>0</v>
      </c>
      <c r="L28">
        <v>255</v>
      </c>
      <c r="M28">
        <v>2591895.753</v>
      </c>
      <c r="N28">
        <v>98830605</v>
      </c>
      <c r="P28">
        <f t="shared" ref="P28:P31" si="0">C28/J28</f>
        <v>6.9898598610003415E-2</v>
      </c>
      <c r="Q28">
        <f t="shared" ref="Q28:R31" si="1">F28/M28</f>
        <v>6.9904610858784022E-2</v>
      </c>
      <c r="R28">
        <f t="shared" si="1"/>
        <v>6.9904611026108759E-2</v>
      </c>
      <c r="T28">
        <f t="shared" ref="T28:T31" si="2">F28/$F$33</f>
        <v>0.77864219591786132</v>
      </c>
      <c r="U28">
        <f t="shared" ref="U28:U31" si="3">G28/$G$33</f>
        <v>0.77616139160726971</v>
      </c>
    </row>
    <row r="29" spans="1:21" x14ac:dyDescent="0.2">
      <c r="A29" t="s">
        <v>343</v>
      </c>
      <c r="B29">
        <v>50267.553999999996</v>
      </c>
      <c r="C29">
        <v>5.7720000000000002</v>
      </c>
      <c r="D29">
        <v>0</v>
      </c>
      <c r="E29">
        <v>255</v>
      </c>
      <c r="F29">
        <v>290125.489</v>
      </c>
      <c r="G29">
        <v>11107545</v>
      </c>
      <c r="I29">
        <v>50267.553999999996</v>
      </c>
      <c r="J29">
        <v>62.884</v>
      </c>
      <c r="K29">
        <v>0</v>
      </c>
      <c r="L29">
        <v>255</v>
      </c>
      <c r="M29">
        <v>3161015.0759999999</v>
      </c>
      <c r="N29">
        <v>121020450</v>
      </c>
      <c r="P29">
        <f t="shared" si="0"/>
        <v>9.1788054195025767E-2</v>
      </c>
      <c r="Q29">
        <f t="shared" si="1"/>
        <v>9.1782380667139854E-2</v>
      </c>
      <c r="R29">
        <f t="shared" si="1"/>
        <v>9.1782380581133194E-2</v>
      </c>
      <c r="T29">
        <f t="shared" si="2"/>
        <v>1.2468105490333559</v>
      </c>
      <c r="U29">
        <f t="shared" si="3"/>
        <v>1.2478800449201293</v>
      </c>
    </row>
    <row r="30" spans="1:21" x14ac:dyDescent="0.2">
      <c r="A30" t="s">
        <v>344</v>
      </c>
      <c r="B30">
        <v>20890.61</v>
      </c>
      <c r="C30">
        <v>3.141</v>
      </c>
      <c r="D30">
        <v>0</v>
      </c>
      <c r="E30">
        <v>255</v>
      </c>
      <c r="F30">
        <v>65611.433999999994</v>
      </c>
      <c r="G30">
        <v>2501805</v>
      </c>
      <c r="I30">
        <v>20890.61</v>
      </c>
      <c r="J30">
        <v>112.19199999999999</v>
      </c>
      <c r="K30">
        <v>0</v>
      </c>
      <c r="L30">
        <v>255</v>
      </c>
      <c r="M30">
        <v>2343761.3470000001</v>
      </c>
      <c r="N30">
        <v>89369085</v>
      </c>
      <c r="P30">
        <f t="shared" si="0"/>
        <v>2.7996648602395896E-2</v>
      </c>
      <c r="Q30">
        <f t="shared" si="1"/>
        <v>2.7994076309852206E-2</v>
      </c>
      <c r="R30">
        <f t="shared" si="1"/>
        <v>2.799407647510322E-2</v>
      </c>
      <c r="T30">
        <f t="shared" si="2"/>
        <v>0.28196429183237254</v>
      </c>
      <c r="U30">
        <f t="shared" si="3"/>
        <v>0.2810659363325923</v>
      </c>
    </row>
    <row r="31" spans="1:21" x14ac:dyDescent="0.2">
      <c r="A31" t="s">
        <v>345</v>
      </c>
      <c r="B31">
        <v>41175.163</v>
      </c>
      <c r="C31">
        <v>4.0709999999999997</v>
      </c>
      <c r="D31">
        <v>0</v>
      </c>
      <c r="E31">
        <v>255</v>
      </c>
      <c r="F31">
        <v>167631.908</v>
      </c>
      <c r="G31">
        <v>6417840</v>
      </c>
      <c r="I31">
        <v>41175.163</v>
      </c>
      <c r="J31">
        <v>69.082999999999998</v>
      </c>
      <c r="K31">
        <v>0</v>
      </c>
      <c r="L31">
        <v>255</v>
      </c>
      <c r="M31">
        <v>2844500.6159999999</v>
      </c>
      <c r="N31">
        <v>108902595</v>
      </c>
      <c r="P31">
        <f t="shared" si="0"/>
        <v>5.8929114253868535E-2</v>
      </c>
      <c r="Q31">
        <f t="shared" si="1"/>
        <v>5.8931928879568225E-2</v>
      </c>
      <c r="R31">
        <f t="shared" si="1"/>
        <v>5.8931929032545093E-2</v>
      </c>
      <c r="T31">
        <f t="shared" si="2"/>
        <v>0.72039596372378367</v>
      </c>
      <c r="U31">
        <f t="shared" si="3"/>
        <v>0.72101391148901062</v>
      </c>
    </row>
    <row r="33" spans="1:22" x14ac:dyDescent="0.2">
      <c r="F33">
        <f>AVERAGE(F27:F31)</f>
        <v>232694.1244</v>
      </c>
      <c r="G33">
        <f>AVERAGE(G27:G31)</f>
        <v>8901132</v>
      </c>
      <c r="P33">
        <f>AVERAGE(P27:P31)</f>
        <v>6.7795559894849658E-2</v>
      </c>
      <c r="Q33">
        <f>AVERAGE(Q27:Q31)</f>
        <v>6.7795150601602974E-2</v>
      </c>
      <c r="R33">
        <f>AVERAGE(R27:R31)</f>
        <v>6.7795150691082467E-2</v>
      </c>
      <c r="T33">
        <f>AVERAGE(T27:T31)</f>
        <v>1</v>
      </c>
      <c r="U33">
        <f>AVERAGE(U27:U31)</f>
        <v>1</v>
      </c>
    </row>
    <row r="35" spans="1:22" ht="17" thickBot="1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1:22" x14ac:dyDescent="0.2">
      <c r="A36" s="64" t="s">
        <v>331</v>
      </c>
      <c r="B36" t="s">
        <v>332</v>
      </c>
      <c r="C36" t="s">
        <v>9</v>
      </c>
      <c r="D36" t="s">
        <v>333</v>
      </c>
      <c r="E36" t="s">
        <v>334</v>
      </c>
      <c r="F36" t="s">
        <v>335</v>
      </c>
      <c r="G36" t="s">
        <v>336</v>
      </c>
      <c r="H36" s="64" t="s">
        <v>337</v>
      </c>
      <c r="I36" t="s">
        <v>332</v>
      </c>
      <c r="J36" t="s">
        <v>9</v>
      </c>
      <c r="K36" t="s">
        <v>333</v>
      </c>
      <c r="L36" t="s">
        <v>334</v>
      </c>
      <c r="M36" t="s">
        <v>335</v>
      </c>
      <c r="N36" t="s">
        <v>336</v>
      </c>
      <c r="O36" s="64" t="s">
        <v>338</v>
      </c>
      <c r="P36" t="s">
        <v>9</v>
      </c>
      <c r="Q36" t="s">
        <v>335</v>
      </c>
      <c r="R36" t="s">
        <v>336</v>
      </c>
      <c r="T36" t="s">
        <v>339</v>
      </c>
      <c r="U36" t="s">
        <v>340</v>
      </c>
    </row>
    <row r="38" spans="1:22" x14ac:dyDescent="0.2">
      <c r="A38" t="s">
        <v>346</v>
      </c>
      <c r="B38">
        <v>32721.085999999999</v>
      </c>
      <c r="C38">
        <v>1.948</v>
      </c>
      <c r="D38">
        <v>0</v>
      </c>
      <c r="E38">
        <v>255</v>
      </c>
      <c r="F38">
        <v>63754.474999999999</v>
      </c>
      <c r="G38">
        <v>2440860</v>
      </c>
      <c r="I38">
        <v>32721.085999999999</v>
      </c>
      <c r="J38">
        <v>80.072999999999993</v>
      </c>
      <c r="K38">
        <v>0</v>
      </c>
      <c r="L38">
        <v>255</v>
      </c>
      <c r="M38">
        <v>2620087.7949999999</v>
      </c>
      <c r="N38">
        <v>100310880</v>
      </c>
      <c r="P38">
        <f>C38/J38</f>
        <v>2.4327800881695453E-2</v>
      </c>
      <c r="Q38">
        <f>F38/M38</f>
        <v>2.4332953697835915E-2</v>
      </c>
      <c r="R38">
        <f>G38/N38</f>
        <v>2.4332953713495486E-2</v>
      </c>
      <c r="T38">
        <f>F38/$F$33</f>
        <v>0.27398403446752434</v>
      </c>
      <c r="U38">
        <f>G38/$G$33</f>
        <v>0.2742190543854422</v>
      </c>
    </row>
    <row r="39" spans="1:22" x14ac:dyDescent="0.2">
      <c r="A39" t="s">
        <v>347</v>
      </c>
      <c r="B39">
        <v>51713.512999999999</v>
      </c>
      <c r="C39">
        <v>3.7650000000000001</v>
      </c>
      <c r="D39">
        <v>0</v>
      </c>
      <c r="E39">
        <v>255</v>
      </c>
      <c r="F39">
        <v>194686.93100000001</v>
      </c>
      <c r="G39">
        <v>7453650</v>
      </c>
      <c r="I39">
        <v>51713.512999999999</v>
      </c>
      <c r="J39">
        <v>67.927999999999997</v>
      </c>
      <c r="K39">
        <v>0</v>
      </c>
      <c r="L39">
        <v>255</v>
      </c>
      <c r="M39">
        <v>3512776.9950000001</v>
      </c>
      <c r="N39">
        <v>134487765</v>
      </c>
      <c r="P39">
        <f t="shared" ref="P39:P42" si="4">C39/J39</f>
        <v>5.5426333765163115E-2</v>
      </c>
      <c r="Q39">
        <f t="shared" ref="Q39:R42" si="5">F39/M39</f>
        <v>5.5422513662869169E-2</v>
      </c>
      <c r="R39">
        <f t="shared" si="5"/>
        <v>5.5422513713422182E-2</v>
      </c>
      <c r="T39">
        <f t="shared" ref="T39:T45" si="6">F39/$F$33</f>
        <v>0.83666457630590696</v>
      </c>
      <c r="U39">
        <f t="shared" ref="U39:U45" si="7">G39/$G$33</f>
        <v>0.83738225654894227</v>
      </c>
    </row>
    <row r="40" spans="1:22" x14ac:dyDescent="0.2">
      <c r="A40" t="s">
        <v>348</v>
      </c>
      <c r="B40">
        <v>40094.826999999997</v>
      </c>
      <c r="C40">
        <v>2.3279999999999998</v>
      </c>
      <c r="D40">
        <v>0</v>
      </c>
      <c r="E40">
        <v>255</v>
      </c>
      <c r="F40">
        <v>93333.834000000003</v>
      </c>
      <c r="G40">
        <v>3573315</v>
      </c>
      <c r="I40">
        <v>40094.826999999997</v>
      </c>
      <c r="J40">
        <v>101.68899999999999</v>
      </c>
      <c r="K40">
        <v>0</v>
      </c>
      <c r="L40">
        <v>255</v>
      </c>
      <c r="M40">
        <v>4077202.5830000001</v>
      </c>
      <c r="N40">
        <v>156096975</v>
      </c>
      <c r="P40">
        <f t="shared" si="4"/>
        <v>2.2893331628789742E-2</v>
      </c>
      <c r="Q40">
        <f t="shared" si="5"/>
        <v>2.2891635159154905E-2</v>
      </c>
      <c r="R40">
        <f t="shared" si="5"/>
        <v>2.2891635151802269E-2</v>
      </c>
      <c r="T40">
        <f t="shared" si="6"/>
        <v>0.40110094846898509</v>
      </c>
      <c r="U40">
        <f t="shared" si="7"/>
        <v>0.40144500721930648</v>
      </c>
    </row>
    <row r="41" spans="1:22" x14ac:dyDescent="0.2">
      <c r="A41" t="s">
        <v>349</v>
      </c>
      <c r="B41">
        <v>62037.838000000003</v>
      </c>
      <c r="C41">
        <v>1.837</v>
      </c>
      <c r="D41">
        <v>0</v>
      </c>
      <c r="E41">
        <v>255</v>
      </c>
      <c r="F41">
        <v>113941.476</v>
      </c>
      <c r="G41">
        <v>4362285</v>
      </c>
      <c r="I41">
        <v>62037.838000000003</v>
      </c>
      <c r="J41">
        <v>65.171000000000006</v>
      </c>
      <c r="K41">
        <v>0</v>
      </c>
      <c r="L41">
        <v>255</v>
      </c>
      <c r="M41">
        <v>4043054.1090000002</v>
      </c>
      <c r="N41">
        <v>154789590</v>
      </c>
      <c r="P41">
        <f t="shared" si="4"/>
        <v>2.818738395912292E-2</v>
      </c>
      <c r="Q41">
        <f t="shared" si="5"/>
        <v>2.8182030941995485E-2</v>
      </c>
      <c r="R41">
        <f t="shared" si="5"/>
        <v>2.8182030845872775E-2</v>
      </c>
      <c r="T41">
        <f t="shared" si="6"/>
        <v>0.48966202431538486</v>
      </c>
      <c r="U41">
        <f t="shared" si="7"/>
        <v>0.49008204799119931</v>
      </c>
    </row>
    <row r="42" spans="1:22" x14ac:dyDescent="0.2">
      <c r="A42" t="s">
        <v>350</v>
      </c>
      <c r="B42">
        <v>30075.762999999999</v>
      </c>
      <c r="C42">
        <v>1.927</v>
      </c>
      <c r="D42">
        <v>0</v>
      </c>
      <c r="E42">
        <v>255</v>
      </c>
      <c r="F42">
        <v>57959.824999999997</v>
      </c>
      <c r="G42">
        <v>2219010</v>
      </c>
      <c r="I42">
        <v>30075.762999999999</v>
      </c>
      <c r="J42">
        <v>72.021000000000001</v>
      </c>
      <c r="K42">
        <v>0</v>
      </c>
      <c r="L42">
        <v>255</v>
      </c>
      <c r="M42">
        <v>2166086.9300000002</v>
      </c>
      <c r="N42">
        <v>82929315</v>
      </c>
      <c r="P42">
        <f t="shared" si="4"/>
        <v>2.6756085030754918E-2</v>
      </c>
      <c r="Q42">
        <f t="shared" si="5"/>
        <v>2.6757848079532059E-2</v>
      </c>
      <c r="R42">
        <f t="shared" si="5"/>
        <v>2.6757847933508192E-2</v>
      </c>
      <c r="T42">
        <f t="shared" si="6"/>
        <v>0.24908160079008851</v>
      </c>
      <c r="U42">
        <f t="shared" si="7"/>
        <v>0.24929525817615109</v>
      </c>
    </row>
    <row r="44" spans="1:22" x14ac:dyDescent="0.2">
      <c r="A44" t="s">
        <v>351</v>
      </c>
      <c r="B44">
        <v>30619.652999999998</v>
      </c>
      <c r="C44">
        <v>0.79600000000000004</v>
      </c>
      <c r="D44">
        <v>0</v>
      </c>
      <c r="E44">
        <v>255</v>
      </c>
      <c r="F44">
        <v>24377.494999999999</v>
      </c>
      <c r="G44">
        <v>933300</v>
      </c>
      <c r="I44">
        <v>30619.652999999998</v>
      </c>
      <c r="J44">
        <v>89.32</v>
      </c>
      <c r="K44">
        <v>0</v>
      </c>
      <c r="L44">
        <v>255</v>
      </c>
      <c r="M44">
        <v>2734961.7429999998</v>
      </c>
      <c r="N44">
        <v>104708865</v>
      </c>
      <c r="P44">
        <f t="shared" ref="P44" si="8">C44/J44</f>
        <v>8.9117778772951194E-3</v>
      </c>
      <c r="Q44">
        <f t="shared" ref="Q44:R45" si="9">F44/M44</f>
        <v>8.9132855559654542E-3</v>
      </c>
      <c r="R44">
        <f t="shared" si="9"/>
        <v>8.9132854223947511E-3</v>
      </c>
      <c r="T44">
        <f t="shared" si="6"/>
        <v>0.10476197051755037</v>
      </c>
      <c r="U44">
        <f t="shared" si="7"/>
        <v>0.10485183232874201</v>
      </c>
    </row>
    <row r="45" spans="1:22" x14ac:dyDescent="0.2">
      <c r="A45" t="s">
        <v>352</v>
      </c>
      <c r="B45">
        <v>35678.512000000002</v>
      </c>
      <c r="C45">
        <v>1.325</v>
      </c>
      <c r="D45">
        <v>0</v>
      </c>
      <c r="E45">
        <v>255</v>
      </c>
      <c r="F45">
        <v>47269.694000000003</v>
      </c>
      <c r="G45">
        <v>1809735</v>
      </c>
      <c r="H45" s="64"/>
      <c r="I45">
        <v>35678.512000000002</v>
      </c>
      <c r="J45">
        <v>70.832999999999998</v>
      </c>
      <c r="K45">
        <v>0</v>
      </c>
      <c r="L45">
        <v>255</v>
      </c>
      <c r="M45">
        <v>2527220.1970000002</v>
      </c>
      <c r="N45">
        <v>96755415</v>
      </c>
      <c r="P45">
        <f>C45/J45</f>
        <v>1.8705970381037086E-2</v>
      </c>
      <c r="Q45">
        <f t="shared" si="9"/>
        <v>1.8704224529430664E-2</v>
      </c>
      <c r="R45">
        <f t="shared" si="9"/>
        <v>1.8704224461235579E-2</v>
      </c>
      <c r="T45">
        <f t="shared" si="6"/>
        <v>0.20314090062172624</v>
      </c>
      <c r="U45">
        <f t="shared" si="7"/>
        <v>0.20331515137625192</v>
      </c>
    </row>
    <row r="47" spans="1:22" x14ac:dyDescent="0.2">
      <c r="P47">
        <f>AVERAGE(P38:P45)</f>
        <v>2.6458383360551192E-2</v>
      </c>
      <c r="Q47">
        <f>AVERAGE(Q38:Q45)</f>
        <v>2.6457784518111951E-2</v>
      </c>
      <c r="R47">
        <f>AVERAGE(R38:R45)</f>
        <v>2.6457784463104459E-2</v>
      </c>
      <c r="T47">
        <f>AVERAGE(T38:T45)</f>
        <v>0.36548515078388094</v>
      </c>
      <c r="U47">
        <f>AVERAGE(U38:U45)</f>
        <v>0.36579865828943359</v>
      </c>
    </row>
    <row r="49" spans="1:22" x14ac:dyDescent="0.2">
      <c r="F49">
        <f>AVERAGE(F43:F47)</f>
        <v>35823.594499999999</v>
      </c>
      <c r="G49">
        <f>AVERAGE(G43:G47)</f>
        <v>1371517.5</v>
      </c>
      <c r="O49" t="s">
        <v>353</v>
      </c>
      <c r="P49">
        <f>P47/P33</f>
        <v>0.39026720041235624</v>
      </c>
    </row>
    <row r="54" spans="1:22" ht="17" thickBot="1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</row>
    <row r="55" spans="1:22" x14ac:dyDescent="0.2">
      <c r="A55" s="64" t="s">
        <v>331</v>
      </c>
      <c r="B55" t="s">
        <v>332</v>
      </c>
      <c r="C55" t="s">
        <v>9</v>
      </c>
      <c r="D55" t="s">
        <v>333</v>
      </c>
      <c r="E55" t="s">
        <v>334</v>
      </c>
      <c r="F55" t="s">
        <v>335</v>
      </c>
      <c r="G55" t="s">
        <v>336</v>
      </c>
      <c r="H55" s="64" t="s">
        <v>337</v>
      </c>
      <c r="I55" t="s">
        <v>332</v>
      </c>
      <c r="J55" t="s">
        <v>9</v>
      </c>
      <c r="K55" t="s">
        <v>333</v>
      </c>
      <c r="L55" t="s">
        <v>334</v>
      </c>
      <c r="M55" t="s">
        <v>335</v>
      </c>
      <c r="N55" t="s">
        <v>336</v>
      </c>
      <c r="O55" s="64" t="s">
        <v>338</v>
      </c>
      <c r="P55" t="s">
        <v>9</v>
      </c>
      <c r="Q55" t="s">
        <v>335</v>
      </c>
      <c r="R55" t="s">
        <v>336</v>
      </c>
      <c r="T55" t="s">
        <v>339</v>
      </c>
      <c r="U55" t="s">
        <v>340</v>
      </c>
    </row>
    <row r="57" spans="1:22" x14ac:dyDescent="0.2">
      <c r="A57" t="s">
        <v>354</v>
      </c>
      <c r="B57">
        <v>53453.866999999998</v>
      </c>
      <c r="C57">
        <v>6.1829999999999998</v>
      </c>
      <c r="D57">
        <v>0</v>
      </c>
      <c r="E57">
        <v>255</v>
      </c>
      <c r="F57">
        <v>330488.22600000002</v>
      </c>
      <c r="G57">
        <v>12652845</v>
      </c>
      <c r="I57">
        <v>53453.866999999998</v>
      </c>
      <c r="J57">
        <v>49.39</v>
      </c>
      <c r="K57">
        <v>0</v>
      </c>
      <c r="L57">
        <v>255</v>
      </c>
      <c r="M57">
        <v>2640089.3289999999</v>
      </c>
      <c r="N57">
        <v>101076645</v>
      </c>
      <c r="P57">
        <f>C57/J57</f>
        <v>0.12518728487548086</v>
      </c>
      <c r="Q57">
        <f>F57/M57</f>
        <v>0.12518069838386139</v>
      </c>
      <c r="R57">
        <f>G57/N57</f>
        <v>0.12518069827109912</v>
      </c>
      <c r="T57">
        <f>F57/$F$33</f>
        <v>1.4202688909836523</v>
      </c>
      <c r="U57">
        <f>G57/$G$33</f>
        <v>1.4214871771365709</v>
      </c>
    </row>
    <row r="58" spans="1:22" x14ac:dyDescent="0.2">
      <c r="A58" t="s">
        <v>355</v>
      </c>
      <c r="B58">
        <v>83917.271999999997</v>
      </c>
      <c r="C58">
        <v>2.399</v>
      </c>
      <c r="D58">
        <v>0</v>
      </c>
      <c r="E58">
        <v>255</v>
      </c>
      <c r="F58">
        <v>201320.807</v>
      </c>
      <c r="G58">
        <v>7707630</v>
      </c>
      <c r="I58">
        <v>83917.271999999997</v>
      </c>
      <c r="J58">
        <v>41.133000000000003</v>
      </c>
      <c r="K58">
        <v>0</v>
      </c>
      <c r="L58">
        <v>255</v>
      </c>
      <c r="M58">
        <v>3451733.3509999998</v>
      </c>
      <c r="N58">
        <v>132150690</v>
      </c>
      <c r="P58">
        <f t="shared" ref="P58:P66" si="10">C58/J58</f>
        <v>5.8323000996766586E-2</v>
      </c>
      <c r="Q58">
        <f t="shared" ref="Q58:R66" si="11">F58/M58</f>
        <v>5.8324553645395426E-2</v>
      </c>
      <c r="R58">
        <f t="shared" si="11"/>
        <v>5.8324553583488668E-2</v>
      </c>
      <c r="T58">
        <f t="shared" ref="T58:T66" si="12">F58/$F$33</f>
        <v>0.86517357290006414</v>
      </c>
      <c r="U58">
        <f t="shared" ref="U58:U66" si="13">G58/$G$33</f>
        <v>0.86591570600233769</v>
      </c>
    </row>
    <row r="59" spans="1:22" x14ac:dyDescent="0.2">
      <c r="A59" t="s">
        <v>356</v>
      </c>
      <c r="B59">
        <v>78573.577999999994</v>
      </c>
      <c r="C59">
        <v>1.103</v>
      </c>
      <c r="D59">
        <v>0</v>
      </c>
      <c r="E59">
        <v>255</v>
      </c>
      <c r="F59">
        <v>86653.335000000006</v>
      </c>
      <c r="G59">
        <v>3317550</v>
      </c>
      <c r="I59">
        <v>78573.577999999994</v>
      </c>
      <c r="J59">
        <v>38.665999999999997</v>
      </c>
      <c r="K59">
        <v>0</v>
      </c>
      <c r="L59">
        <v>255</v>
      </c>
      <c r="M59">
        <v>3038088.5619999999</v>
      </c>
      <c r="N59">
        <v>116314170</v>
      </c>
      <c r="P59">
        <f t="shared" si="10"/>
        <v>2.8526353902653494E-2</v>
      </c>
      <c r="Q59">
        <f t="shared" si="11"/>
        <v>2.8522320278562045E-2</v>
      </c>
      <c r="R59">
        <f t="shared" si="11"/>
        <v>2.852232019538118E-2</v>
      </c>
      <c r="T59">
        <f t="shared" si="12"/>
        <v>0.37239159013333473</v>
      </c>
      <c r="U59">
        <f t="shared" si="13"/>
        <v>0.37271102147457202</v>
      </c>
    </row>
    <row r="60" spans="1:22" x14ac:dyDescent="0.2">
      <c r="A60" t="s">
        <v>357</v>
      </c>
      <c r="B60">
        <v>68796.800000000003</v>
      </c>
      <c r="C60">
        <v>3.7090000000000001</v>
      </c>
      <c r="D60">
        <v>0</v>
      </c>
      <c r="E60">
        <v>255</v>
      </c>
      <c r="F60">
        <v>255164.432</v>
      </c>
      <c r="G60">
        <v>9769050</v>
      </c>
      <c r="I60">
        <v>68796.800000000003</v>
      </c>
      <c r="J60">
        <v>49.838000000000001</v>
      </c>
      <c r="K60">
        <v>0</v>
      </c>
      <c r="L60">
        <v>255</v>
      </c>
      <c r="M60">
        <v>3428727.923</v>
      </c>
      <c r="N60">
        <v>131269920</v>
      </c>
      <c r="P60">
        <f t="shared" si="10"/>
        <v>7.4421124443195957E-2</v>
      </c>
      <c r="Q60">
        <f t="shared" si="11"/>
        <v>7.4419562511317996E-2</v>
      </c>
      <c r="R60">
        <f t="shared" si="11"/>
        <v>7.4419562379561141E-2</v>
      </c>
      <c r="T60">
        <f t="shared" si="12"/>
        <v>1.0965658572511856</v>
      </c>
      <c r="U60">
        <f t="shared" si="13"/>
        <v>1.0975064744574061</v>
      </c>
    </row>
    <row r="61" spans="1:22" x14ac:dyDescent="0.2">
      <c r="A61" t="s">
        <v>358</v>
      </c>
      <c r="B61">
        <v>48071.542000000001</v>
      </c>
      <c r="C61">
        <v>4.1669999999999998</v>
      </c>
      <c r="D61">
        <v>0</v>
      </c>
      <c r="E61">
        <v>255</v>
      </c>
      <c r="F61">
        <v>200301.74799999999</v>
      </c>
      <c r="G61">
        <v>7668615</v>
      </c>
      <c r="I61">
        <v>48071.542000000001</v>
      </c>
      <c r="J61">
        <v>68.638000000000005</v>
      </c>
      <c r="K61">
        <v>0</v>
      </c>
      <c r="L61">
        <v>255</v>
      </c>
      <c r="M61">
        <v>3299527.2009999999</v>
      </c>
      <c r="N61">
        <v>126323430</v>
      </c>
      <c r="P61">
        <f t="shared" si="10"/>
        <v>6.0709810891925751E-2</v>
      </c>
      <c r="Q61">
        <f t="shared" si="11"/>
        <v>6.0706196917938368E-2</v>
      </c>
      <c r="R61">
        <f t="shared" si="11"/>
        <v>6.0706196783922035E-2</v>
      </c>
      <c r="T61">
        <f t="shared" si="12"/>
        <v>0.86079417998403052</v>
      </c>
      <c r="U61">
        <f t="shared" si="13"/>
        <v>0.86153255563449682</v>
      </c>
    </row>
    <row r="62" spans="1:22" x14ac:dyDescent="0.2">
      <c r="A62" t="s">
        <v>359</v>
      </c>
      <c r="B62">
        <v>50831.739000000001</v>
      </c>
      <c r="C62">
        <v>5.0679999999999996</v>
      </c>
      <c r="D62">
        <v>0</v>
      </c>
      <c r="E62">
        <v>255</v>
      </c>
      <c r="F62">
        <v>257595.51999999999</v>
      </c>
      <c r="G62">
        <v>9862125</v>
      </c>
      <c r="I62">
        <v>50831.739000000001</v>
      </c>
      <c r="J62">
        <v>60.863</v>
      </c>
      <c r="K62">
        <v>0</v>
      </c>
      <c r="L62">
        <v>255</v>
      </c>
      <c r="M62">
        <v>3093790.4709999999</v>
      </c>
      <c r="N62">
        <v>118446735</v>
      </c>
      <c r="P62">
        <f>C62/J62</f>
        <v>8.3268981154395932E-2</v>
      </c>
      <c r="Q62">
        <f t="shared" si="11"/>
        <v>8.3262109187613439E-2</v>
      </c>
      <c r="R62">
        <f>G62/N62</f>
        <v>8.3262109335474718E-2</v>
      </c>
      <c r="T62">
        <f t="shared" si="12"/>
        <v>1.1070134265925624</v>
      </c>
      <c r="U62">
        <f t="shared" si="13"/>
        <v>1.1079630096486603</v>
      </c>
    </row>
    <row r="63" spans="1:22" x14ac:dyDescent="0.2">
      <c r="A63" t="s">
        <v>360</v>
      </c>
      <c r="B63">
        <v>51919.127</v>
      </c>
      <c r="C63">
        <v>5.0380000000000003</v>
      </c>
      <c r="D63">
        <v>0</v>
      </c>
      <c r="E63">
        <v>255</v>
      </c>
      <c r="F63">
        <v>261551.86799999999</v>
      </c>
      <c r="G63">
        <v>10013595</v>
      </c>
      <c r="I63">
        <v>51919.127</v>
      </c>
      <c r="J63">
        <v>100.191</v>
      </c>
      <c r="K63">
        <v>0</v>
      </c>
      <c r="L63">
        <v>255</v>
      </c>
      <c r="M63">
        <v>5201824.3289999999</v>
      </c>
      <c r="N63">
        <v>199153470</v>
      </c>
      <c r="P63">
        <f t="shared" si="10"/>
        <v>5.0283957640905874E-2</v>
      </c>
      <c r="Q63">
        <f t="shared" si="11"/>
        <v>5.0280796016477704E-2</v>
      </c>
      <c r="R63">
        <f t="shared" si="11"/>
        <v>5.0280796011236965E-2</v>
      </c>
      <c r="T63">
        <f t="shared" si="12"/>
        <v>1.1240157811221467</v>
      </c>
      <c r="U63">
        <f t="shared" si="13"/>
        <v>1.1249799463708661</v>
      </c>
    </row>
    <row r="64" spans="1:22" x14ac:dyDescent="0.2">
      <c r="A64" t="s">
        <v>361</v>
      </c>
      <c r="B64">
        <v>55353.682000000001</v>
      </c>
      <c r="C64">
        <v>4.5410000000000004</v>
      </c>
      <c r="D64">
        <v>0</v>
      </c>
      <c r="E64">
        <v>255</v>
      </c>
      <c r="F64">
        <v>251387.91800000001</v>
      </c>
      <c r="G64">
        <v>9624465</v>
      </c>
      <c r="I64">
        <v>55353.682000000001</v>
      </c>
      <c r="J64">
        <v>68.328999999999994</v>
      </c>
      <c r="K64">
        <v>0</v>
      </c>
      <c r="L64">
        <v>255</v>
      </c>
      <c r="M64">
        <v>3782281.5210000002</v>
      </c>
      <c r="N64">
        <v>144805830</v>
      </c>
      <c r="P64">
        <f t="shared" si="10"/>
        <v>6.6457872938283896E-2</v>
      </c>
      <c r="Q64">
        <f t="shared" si="11"/>
        <v>6.646462369451954E-2</v>
      </c>
      <c r="R64">
        <f t="shared" si="11"/>
        <v>6.6464623696435424E-2</v>
      </c>
      <c r="T64">
        <f t="shared" si="12"/>
        <v>1.0803363370184005</v>
      </c>
      <c r="U64">
        <f t="shared" si="13"/>
        <v>1.0812630348589369</v>
      </c>
    </row>
    <row r="66" spans="1:21" x14ac:dyDescent="0.2">
      <c r="A66" t="s">
        <v>362</v>
      </c>
      <c r="B66">
        <v>62374.258999999998</v>
      </c>
      <c r="C66">
        <v>3.2989999999999999</v>
      </c>
      <c r="D66">
        <v>0</v>
      </c>
      <c r="E66">
        <v>255</v>
      </c>
      <c r="F66">
        <v>205783.35399999999</v>
      </c>
      <c r="G66">
        <v>7878480</v>
      </c>
      <c r="H66" s="64"/>
      <c r="I66">
        <v>62374.258999999998</v>
      </c>
      <c r="J66">
        <v>60.829000000000001</v>
      </c>
      <c r="K66">
        <v>0</v>
      </c>
      <c r="L66">
        <v>255</v>
      </c>
      <c r="M66">
        <v>3794137.2429999998</v>
      </c>
      <c r="N66">
        <v>145259730</v>
      </c>
      <c r="P66">
        <f t="shared" si="10"/>
        <v>5.423400023015338E-2</v>
      </c>
      <c r="Q66">
        <f t="shared" si="11"/>
        <v>5.4237193021855062E-2</v>
      </c>
      <c r="R66">
        <f t="shared" si="11"/>
        <v>5.4237192923324309E-2</v>
      </c>
      <c r="T66">
        <f t="shared" si="12"/>
        <v>0.88435131110684806</v>
      </c>
      <c r="U66">
        <f t="shared" si="13"/>
        <v>0.88510989388765382</v>
      </c>
    </row>
    <row r="68" spans="1:21" x14ac:dyDescent="0.2">
      <c r="P68">
        <f>AVERAGE(P57:P66)</f>
        <v>6.6823598563751294E-2</v>
      </c>
      <c r="Q68">
        <f>AVERAGE(Q57:Q66)</f>
        <v>6.6822005961948996E-2</v>
      </c>
      <c r="R68">
        <f>AVERAGE(R57:R66)</f>
        <v>6.6822005908880391E-2</v>
      </c>
      <c r="T68">
        <f>AVERAGE(T57:T66)</f>
        <v>0.97899010523246943</v>
      </c>
      <c r="U68">
        <f>AVERAGE(U57:U66)</f>
        <v>0.97982986883016687</v>
      </c>
    </row>
    <row r="70" spans="1:21" x14ac:dyDescent="0.2">
      <c r="F70">
        <f>AVERAGE(F64:F68)</f>
        <v>228585.636</v>
      </c>
      <c r="G70">
        <f>AVERAGE(G64:G68)</f>
        <v>8751472.5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89427-1D91-C54B-B71A-F1043ABDE483}">
  <dimension ref="A1:Z95"/>
  <sheetViews>
    <sheetView workbookViewId="0">
      <selection activeCell="A14" sqref="A14"/>
    </sheetView>
  </sheetViews>
  <sheetFormatPr baseColWidth="10" defaultRowHeight="16" x14ac:dyDescent="0.2"/>
  <cols>
    <col min="1" max="1" width="39.1640625" bestFit="1" customWidth="1"/>
    <col min="2" max="2" width="12.83203125" bestFit="1" customWidth="1"/>
    <col min="3" max="3" width="13.6640625" bestFit="1" customWidth="1"/>
    <col min="4" max="4" width="14.33203125" bestFit="1" customWidth="1"/>
    <col min="5" max="5" width="16.33203125" customWidth="1"/>
  </cols>
  <sheetData>
    <row r="1" spans="1:5" ht="19" x14ac:dyDescent="0.25">
      <c r="A1" s="68" t="s">
        <v>369</v>
      </c>
      <c r="B1" s="60"/>
      <c r="C1" s="60"/>
      <c r="D1" s="60"/>
      <c r="E1" s="51"/>
    </row>
    <row r="2" spans="1:5" s="67" customFormat="1" x14ac:dyDescent="0.2">
      <c r="A2" s="69"/>
      <c r="E2" s="70"/>
    </row>
    <row r="3" spans="1:5" x14ac:dyDescent="0.2">
      <c r="A3" s="61"/>
      <c r="B3" s="7" t="s">
        <v>0</v>
      </c>
      <c r="C3" s="7" t="s">
        <v>1</v>
      </c>
      <c r="D3" s="7" t="s">
        <v>2</v>
      </c>
      <c r="E3" s="52"/>
    </row>
    <row r="4" spans="1:5" x14ac:dyDescent="0.2">
      <c r="A4" s="61" t="s">
        <v>448</v>
      </c>
      <c r="B4" s="8">
        <v>1.11101684</v>
      </c>
      <c r="C4" s="8">
        <v>1.06641389</v>
      </c>
      <c r="D4" s="8">
        <v>0.61186289000000005</v>
      </c>
      <c r="E4" s="52"/>
    </row>
    <row r="5" spans="1:5" x14ac:dyDescent="0.2">
      <c r="A5" s="61"/>
      <c r="B5" s="8">
        <v>1.0519001699999999</v>
      </c>
      <c r="C5" s="8">
        <v>0.70889575999999999</v>
      </c>
      <c r="D5" s="8">
        <v>1.18234522</v>
      </c>
      <c r="E5" s="52"/>
    </row>
    <row r="6" spans="1:5" x14ac:dyDescent="0.2">
      <c r="A6" s="61"/>
      <c r="B6" s="8">
        <v>0.81870065000000003</v>
      </c>
      <c r="C6" s="8">
        <v>0.99781072999999998</v>
      </c>
      <c r="D6" s="8">
        <v>0.67910261000000005</v>
      </c>
      <c r="E6" s="52"/>
    </row>
    <row r="7" spans="1:5" x14ac:dyDescent="0.2">
      <c r="A7" s="61"/>
      <c r="B7" s="8">
        <v>1.01542427</v>
      </c>
      <c r="C7" s="8">
        <v>0.74452797999999998</v>
      </c>
      <c r="D7" s="8">
        <v>1.22230708</v>
      </c>
      <c r="E7" s="52"/>
    </row>
    <row r="8" spans="1:5" x14ac:dyDescent="0.2">
      <c r="A8" s="61"/>
      <c r="B8" s="8">
        <v>1.06269445</v>
      </c>
      <c r="C8" s="8">
        <v>1.0271141699999999</v>
      </c>
      <c r="D8" s="8">
        <v>1.0917939999999999</v>
      </c>
      <c r="E8" s="52"/>
    </row>
    <row r="9" spans="1:5" x14ac:dyDescent="0.2">
      <c r="A9" s="61"/>
      <c r="B9" s="8">
        <v>0.94026361999999997</v>
      </c>
      <c r="C9" s="35">
        <v>1.4219667600000001</v>
      </c>
      <c r="D9" s="8">
        <v>0.84146900000000002</v>
      </c>
      <c r="E9" s="52"/>
    </row>
    <row r="10" spans="1:5" x14ac:dyDescent="0.2">
      <c r="A10" s="61" t="s">
        <v>426</v>
      </c>
      <c r="B10" s="8">
        <v>1.1342669999999999</v>
      </c>
      <c r="C10" s="8">
        <v>0.59243599999999996</v>
      </c>
      <c r="D10" s="8">
        <v>1.1242350000000001</v>
      </c>
      <c r="E10" s="52"/>
    </row>
    <row r="11" spans="1:5" x14ac:dyDescent="0.2">
      <c r="A11" s="61"/>
      <c r="B11" s="35">
        <v>0.48025400000000001</v>
      </c>
      <c r="C11" s="8">
        <v>0.81674199999999997</v>
      </c>
      <c r="D11" s="35">
        <v>2.961074</v>
      </c>
      <c r="E11" s="52"/>
    </row>
    <row r="12" spans="1:5" x14ac:dyDescent="0.2">
      <c r="A12" s="61"/>
      <c r="B12" s="8">
        <v>1.330503</v>
      </c>
      <c r="C12" s="8">
        <v>0.81375799999999998</v>
      </c>
      <c r="D12" s="8">
        <v>1.1411420000000001</v>
      </c>
      <c r="E12" s="52"/>
    </row>
    <row r="13" spans="1:5" x14ac:dyDescent="0.2">
      <c r="A13" s="61"/>
      <c r="B13" s="8">
        <v>1.297004</v>
      </c>
      <c r="C13" s="8">
        <v>0.94136500000000001</v>
      </c>
      <c r="D13" s="8">
        <v>1.671713</v>
      </c>
      <c r="E13" s="52"/>
    </row>
    <row r="14" spans="1:5" x14ac:dyDescent="0.2">
      <c r="A14" s="61"/>
      <c r="B14" s="8">
        <v>0.94607300000000005</v>
      </c>
      <c r="C14" s="8">
        <v>0.56319600000000003</v>
      </c>
      <c r="D14" s="8"/>
      <c r="E14" s="52"/>
    </row>
    <row r="15" spans="1:5" x14ac:dyDescent="0.2">
      <c r="A15" s="61"/>
      <c r="B15" s="8">
        <v>0.81189900000000004</v>
      </c>
      <c r="C15" s="8">
        <v>0.63773800000000003</v>
      </c>
      <c r="D15" s="8"/>
      <c r="E15" s="52"/>
    </row>
    <row r="16" spans="1:5" x14ac:dyDescent="0.2">
      <c r="A16" s="61"/>
      <c r="E16" s="52"/>
    </row>
    <row r="17" spans="1:5" x14ac:dyDescent="0.2">
      <c r="A17" s="61"/>
      <c r="E17" s="52"/>
    </row>
    <row r="18" spans="1:5" x14ac:dyDescent="0.2">
      <c r="A18" s="61"/>
      <c r="E18" s="52"/>
    </row>
    <row r="19" spans="1:5" x14ac:dyDescent="0.2">
      <c r="A19" s="61"/>
      <c r="E19" s="52"/>
    </row>
    <row r="20" spans="1:5" x14ac:dyDescent="0.2">
      <c r="A20" s="61"/>
      <c r="E20" s="52"/>
    </row>
    <row r="21" spans="1:5" x14ac:dyDescent="0.2">
      <c r="A21" s="61" t="s">
        <v>368</v>
      </c>
      <c r="B21">
        <v>11</v>
      </c>
      <c r="C21">
        <v>11</v>
      </c>
      <c r="D21">
        <v>9</v>
      </c>
      <c r="E21" s="52"/>
    </row>
    <row r="22" spans="1:5" x14ac:dyDescent="0.2">
      <c r="A22" s="61"/>
      <c r="E22" s="52"/>
    </row>
    <row r="23" spans="1:5" x14ac:dyDescent="0.2">
      <c r="A23" s="10" t="s">
        <v>9</v>
      </c>
      <c r="B23" s="8">
        <v>1.0469999999999999</v>
      </c>
      <c r="C23" s="8">
        <v>0.81</v>
      </c>
      <c r="D23" s="8">
        <v>1.0629999999999999</v>
      </c>
      <c r="E23" s="50"/>
    </row>
    <row r="24" spans="1:5" x14ac:dyDescent="0.2">
      <c r="A24" s="10" t="s">
        <v>10</v>
      </c>
      <c r="B24" s="8">
        <v>0.16880000000000001</v>
      </c>
      <c r="C24" s="8">
        <v>0.17829999999999999</v>
      </c>
      <c r="D24" s="8">
        <v>0.32029999999999997</v>
      </c>
      <c r="E24" s="50"/>
    </row>
    <row r="25" spans="1:5" x14ac:dyDescent="0.2">
      <c r="A25" s="10" t="s">
        <v>11</v>
      </c>
      <c r="B25" s="8">
        <v>5.0889999999999998E-2</v>
      </c>
      <c r="C25" s="8">
        <v>5.3760000000000002E-2</v>
      </c>
      <c r="D25" s="8">
        <v>0.10680000000000001</v>
      </c>
      <c r="E25" s="50"/>
    </row>
    <row r="26" spans="1:5" x14ac:dyDescent="0.2">
      <c r="A26" s="61"/>
      <c r="E26" s="52"/>
    </row>
    <row r="27" spans="1:5" x14ac:dyDescent="0.2">
      <c r="A27" s="61"/>
      <c r="E27" s="52"/>
    </row>
    <row r="28" spans="1:5" x14ac:dyDescent="0.2">
      <c r="A28" s="61"/>
      <c r="E28" s="52"/>
    </row>
    <row r="29" spans="1:5" x14ac:dyDescent="0.2">
      <c r="A29" s="61"/>
      <c r="E29" s="52"/>
    </row>
    <row r="30" spans="1:5" x14ac:dyDescent="0.2">
      <c r="A30" s="5"/>
      <c r="B30" s="1" t="s">
        <v>255</v>
      </c>
      <c r="C30" s="1" t="s">
        <v>256</v>
      </c>
      <c r="D30" s="1" t="s">
        <v>327</v>
      </c>
      <c r="E30" s="6"/>
    </row>
    <row r="31" spans="1:5" x14ac:dyDescent="0.2">
      <c r="A31" s="5" t="s">
        <v>254</v>
      </c>
      <c r="B31" s="1">
        <v>2.5899999999999999E-2</v>
      </c>
      <c r="C31" s="1">
        <v>5.0700000000000002E-2</v>
      </c>
      <c r="D31" s="1" t="s">
        <v>372</v>
      </c>
      <c r="E31" s="6"/>
    </row>
    <row r="32" spans="1:5" ht="17" thickBot="1" x14ac:dyDescent="0.25">
      <c r="A32" s="11" t="s">
        <v>259</v>
      </c>
      <c r="B32" s="12"/>
      <c r="C32" s="12" t="s">
        <v>370</v>
      </c>
      <c r="D32" s="12" t="s">
        <v>371</v>
      </c>
      <c r="E32" s="66"/>
    </row>
    <row r="39" spans="1:26" x14ac:dyDescent="0.2">
      <c r="B39" s="78" t="s">
        <v>427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</row>
    <row r="40" spans="1:26" x14ac:dyDescent="0.2">
      <c r="B40" t="s">
        <v>396</v>
      </c>
      <c r="C40" t="s">
        <v>397</v>
      </c>
      <c r="D40" t="s">
        <v>398</v>
      </c>
      <c r="E40" t="s">
        <v>399</v>
      </c>
      <c r="F40" t="s">
        <v>400</v>
      </c>
      <c r="G40" t="s">
        <v>401</v>
      </c>
      <c r="H40" t="s">
        <v>402</v>
      </c>
      <c r="I40" t="s">
        <v>403</v>
      </c>
      <c r="J40" t="s">
        <v>404</v>
      </c>
      <c r="K40" t="s">
        <v>405</v>
      </c>
      <c r="L40" t="s">
        <v>406</v>
      </c>
      <c r="M40" t="s">
        <v>407</v>
      </c>
      <c r="N40" t="s">
        <v>408</v>
      </c>
      <c r="O40" t="s">
        <v>409</v>
      </c>
      <c r="R40" t="s">
        <v>331</v>
      </c>
    </row>
    <row r="41" spans="1:26" x14ac:dyDescent="0.2">
      <c r="A41" t="s">
        <v>0</v>
      </c>
      <c r="B41" s="79" t="s">
        <v>428</v>
      </c>
      <c r="C41">
        <v>1</v>
      </c>
      <c r="D41">
        <v>1</v>
      </c>
      <c r="F41" t="s">
        <v>411</v>
      </c>
      <c r="G41">
        <v>0.74107100000000004</v>
      </c>
      <c r="H41">
        <v>25012507</v>
      </c>
      <c r="I41">
        <v>27275839</v>
      </c>
      <c r="J41" t="s">
        <v>411</v>
      </c>
      <c r="K41" t="s">
        <v>411</v>
      </c>
      <c r="L41">
        <v>100</v>
      </c>
      <c r="M41">
        <v>86.311611999999997</v>
      </c>
      <c r="N41">
        <v>1</v>
      </c>
      <c r="O41">
        <v>25012507</v>
      </c>
    </row>
    <row r="42" spans="1:26" x14ac:dyDescent="0.2">
      <c r="B42" s="80" t="s">
        <v>429</v>
      </c>
      <c r="C42">
        <v>2</v>
      </c>
      <c r="D42">
        <v>1</v>
      </c>
      <c r="F42" t="s">
        <v>411</v>
      </c>
      <c r="G42">
        <v>0.74164799999999997</v>
      </c>
      <c r="H42">
        <v>15139217</v>
      </c>
      <c r="I42">
        <v>17223808</v>
      </c>
      <c r="J42" t="s">
        <v>411</v>
      </c>
      <c r="K42" t="s">
        <v>411</v>
      </c>
      <c r="L42">
        <v>100</v>
      </c>
      <c r="M42">
        <v>76.249035000000006</v>
      </c>
      <c r="N42">
        <v>0.69953500000000002</v>
      </c>
      <c r="O42">
        <v>10590416</v>
      </c>
      <c r="R42" t="s">
        <v>0</v>
      </c>
      <c r="S42" t="s">
        <v>1</v>
      </c>
      <c r="T42" t="s">
        <v>170</v>
      </c>
      <c r="U42" t="s">
        <v>447</v>
      </c>
      <c r="W42" t="s">
        <v>0</v>
      </c>
      <c r="X42" t="s">
        <v>1</v>
      </c>
      <c r="Y42" t="s">
        <v>170</v>
      </c>
      <c r="Z42" t="s">
        <v>447</v>
      </c>
    </row>
    <row r="43" spans="1:26" x14ac:dyDescent="0.2">
      <c r="B43" s="79" t="s">
        <v>430</v>
      </c>
      <c r="C43">
        <v>3</v>
      </c>
      <c r="D43">
        <v>1</v>
      </c>
      <c r="F43" t="s">
        <v>411</v>
      </c>
      <c r="G43">
        <v>0.74944599999999995</v>
      </c>
      <c r="H43">
        <v>37018046</v>
      </c>
      <c r="I43">
        <v>39404941</v>
      </c>
      <c r="J43" t="s">
        <v>411</v>
      </c>
      <c r="K43" t="s">
        <v>411</v>
      </c>
      <c r="L43">
        <v>100</v>
      </c>
      <c r="M43">
        <v>89.258511999999996</v>
      </c>
      <c r="N43">
        <v>0.79258200000000001</v>
      </c>
      <c r="O43">
        <v>29339843</v>
      </c>
      <c r="R43">
        <v>250.12506999999999</v>
      </c>
      <c r="S43">
        <v>130.64215999999999</v>
      </c>
      <c r="T43">
        <v>132.45577</v>
      </c>
      <c r="U43">
        <v>240.75897000000001</v>
      </c>
      <c r="W43">
        <v>1.134267064188206</v>
      </c>
      <c r="X43">
        <v>0.59243601324091932</v>
      </c>
      <c r="Y43">
        <v>0.60066037112028903</v>
      </c>
      <c r="Z43">
        <v>1.0917936777743886</v>
      </c>
    </row>
    <row r="44" spans="1:26" x14ac:dyDescent="0.2">
      <c r="B44" s="80" t="s">
        <v>431</v>
      </c>
      <c r="C44">
        <v>4</v>
      </c>
      <c r="D44">
        <v>1</v>
      </c>
      <c r="F44" t="s">
        <v>411</v>
      </c>
      <c r="G44">
        <v>0.76106200000000002</v>
      </c>
      <c r="H44">
        <v>36096470</v>
      </c>
      <c r="I44">
        <v>38358298</v>
      </c>
      <c r="J44" t="s">
        <v>411</v>
      </c>
      <c r="K44" t="s">
        <v>411</v>
      </c>
      <c r="L44">
        <v>100</v>
      </c>
      <c r="M44">
        <v>88.434466</v>
      </c>
      <c r="N44">
        <v>0.79235199999999995</v>
      </c>
      <c r="O44">
        <v>28601124</v>
      </c>
      <c r="R44">
        <v>105.90416</v>
      </c>
      <c r="S44">
        <v>180.10534999999999</v>
      </c>
      <c r="T44">
        <v>119.12298</v>
      </c>
      <c r="U44">
        <v>185.5581</v>
      </c>
      <c r="W44">
        <v>0.48025414105238651</v>
      </c>
      <c r="X44">
        <v>0.81674166683527294</v>
      </c>
      <c r="Y44">
        <v>0.54019884053186029</v>
      </c>
      <c r="Z44">
        <v>0.84146879528446139</v>
      </c>
    </row>
    <row r="45" spans="1:26" x14ac:dyDescent="0.2">
      <c r="B45" s="79" t="s">
        <v>432</v>
      </c>
      <c r="C45">
        <v>5</v>
      </c>
      <c r="D45">
        <v>1</v>
      </c>
      <c r="F45" t="s">
        <v>411</v>
      </c>
      <c r="G45">
        <v>0.75991200000000003</v>
      </c>
      <c r="H45">
        <v>28948334</v>
      </c>
      <c r="I45">
        <v>30983763</v>
      </c>
      <c r="J45" t="s">
        <v>411</v>
      </c>
      <c r="K45" t="s">
        <v>411</v>
      </c>
      <c r="L45">
        <v>100</v>
      </c>
      <c r="M45">
        <v>82.822173000000006</v>
      </c>
      <c r="N45">
        <v>0.72068100000000002</v>
      </c>
      <c r="O45">
        <v>20862511</v>
      </c>
      <c r="R45">
        <v>293.39843000000002</v>
      </c>
      <c r="S45">
        <v>179.44748999999999</v>
      </c>
      <c r="T45">
        <v>165.9204</v>
      </c>
      <c r="U45">
        <v>247.91292999999999</v>
      </c>
      <c r="W45">
        <v>1.3305030792536268</v>
      </c>
      <c r="X45">
        <v>0.81375840357882745</v>
      </c>
      <c r="Y45">
        <v>0.75241576143060285</v>
      </c>
      <c r="Z45">
        <v>1.1242354526293434</v>
      </c>
    </row>
    <row r="46" spans="1:26" ht="17" thickBot="1" x14ac:dyDescent="0.25">
      <c r="B46" s="81" t="s">
        <v>433</v>
      </c>
      <c r="C46">
        <v>6</v>
      </c>
      <c r="D46">
        <v>1</v>
      </c>
      <c r="F46" t="s">
        <v>411</v>
      </c>
      <c r="G46">
        <v>0.758772</v>
      </c>
      <c r="H46">
        <v>23716952</v>
      </c>
      <c r="I46">
        <v>25502999</v>
      </c>
      <c r="J46" t="s">
        <v>411</v>
      </c>
      <c r="K46" t="s">
        <v>411</v>
      </c>
      <c r="L46">
        <v>100</v>
      </c>
      <c r="M46">
        <v>82.663900999999996</v>
      </c>
      <c r="N46">
        <v>0.75489200000000001</v>
      </c>
      <c r="O46">
        <v>17903746</v>
      </c>
      <c r="R46">
        <v>286.01123999999999</v>
      </c>
      <c r="S46">
        <v>207.58696</v>
      </c>
      <c r="T46">
        <v>207.18823</v>
      </c>
      <c r="U46">
        <v>652.96685000000002</v>
      </c>
      <c r="W46">
        <v>1.2970036530909452</v>
      </c>
      <c r="X46">
        <v>0.94136526051928571</v>
      </c>
      <c r="Y46">
        <v>0.93955709987987535</v>
      </c>
      <c r="Z46">
        <v>2.9610738018452958</v>
      </c>
    </row>
    <row r="47" spans="1:26" x14ac:dyDescent="0.2">
      <c r="A47" t="s">
        <v>446</v>
      </c>
      <c r="B47" s="1" t="s">
        <v>434</v>
      </c>
      <c r="C47">
        <v>7</v>
      </c>
      <c r="D47">
        <v>1</v>
      </c>
      <c r="F47" t="s">
        <v>411</v>
      </c>
      <c r="G47">
        <v>0.75492300000000001</v>
      </c>
      <c r="H47">
        <v>14662778</v>
      </c>
      <c r="I47">
        <v>16269708</v>
      </c>
      <c r="J47" t="s">
        <v>411</v>
      </c>
      <c r="K47" t="s">
        <v>411</v>
      </c>
      <c r="L47">
        <v>100</v>
      </c>
      <c r="M47">
        <v>78.752278000000004</v>
      </c>
      <c r="N47">
        <v>0.89097800000000005</v>
      </c>
      <c r="O47">
        <v>13064216</v>
      </c>
      <c r="R47">
        <v>208.62511000000001</v>
      </c>
      <c r="S47">
        <v>124.19435</v>
      </c>
      <c r="T47">
        <v>194.73652000000001</v>
      </c>
      <c r="U47">
        <v>251.64111</v>
      </c>
      <c r="W47">
        <v>0.94607306271075331</v>
      </c>
      <c r="X47">
        <v>0.56319648711447656</v>
      </c>
      <c r="Y47">
        <v>0.88309109051175039</v>
      </c>
      <c r="Z47">
        <v>1.1411420017544081</v>
      </c>
    </row>
    <row r="48" spans="1:26" x14ac:dyDescent="0.2">
      <c r="B48" s="82" t="s">
        <v>435</v>
      </c>
      <c r="C48">
        <v>8</v>
      </c>
      <c r="D48">
        <v>1</v>
      </c>
      <c r="F48" t="s">
        <v>411</v>
      </c>
      <c r="G48">
        <v>0.74672499999999997</v>
      </c>
      <c r="H48">
        <v>25369378</v>
      </c>
      <c r="I48">
        <v>27252386</v>
      </c>
      <c r="J48" t="s">
        <v>411</v>
      </c>
      <c r="K48" t="s">
        <v>411</v>
      </c>
      <c r="L48">
        <v>100</v>
      </c>
      <c r="M48">
        <v>79.967939999999999</v>
      </c>
      <c r="N48">
        <v>0.70993200000000001</v>
      </c>
      <c r="O48">
        <v>18010535</v>
      </c>
      <c r="R48">
        <v>179.03746000000001</v>
      </c>
      <c r="S48">
        <v>140.63192000000001</v>
      </c>
      <c r="T48">
        <v>197.80929</v>
      </c>
      <c r="U48">
        <v>368.64094</v>
      </c>
      <c r="W48">
        <v>0.81189899970408164</v>
      </c>
      <c r="X48">
        <v>0.63773757276529963</v>
      </c>
      <c r="Y48">
        <v>0.89702548663935799</v>
      </c>
      <c r="Z48">
        <v>1.6717127825426721</v>
      </c>
    </row>
    <row r="49" spans="1:26" x14ac:dyDescent="0.2">
      <c r="B49" s="1" t="s">
        <v>436</v>
      </c>
      <c r="C49">
        <v>9</v>
      </c>
      <c r="D49">
        <v>1</v>
      </c>
      <c r="F49" t="s">
        <v>411</v>
      </c>
      <c r="G49">
        <v>0.74074099999999998</v>
      </c>
      <c r="H49">
        <v>22922229</v>
      </c>
      <c r="I49">
        <v>24756780</v>
      </c>
      <c r="J49" t="s">
        <v>411</v>
      </c>
      <c r="K49" t="s">
        <v>411</v>
      </c>
      <c r="L49">
        <v>100</v>
      </c>
      <c r="M49">
        <v>78.588393999999994</v>
      </c>
      <c r="N49">
        <v>0.78285400000000005</v>
      </c>
      <c r="O49">
        <v>17944749</v>
      </c>
    </row>
    <row r="50" spans="1:26" x14ac:dyDescent="0.2">
      <c r="B50" s="82" t="s">
        <v>437</v>
      </c>
      <c r="C50">
        <v>10</v>
      </c>
      <c r="D50">
        <v>1</v>
      </c>
      <c r="F50" t="s">
        <v>411</v>
      </c>
      <c r="G50">
        <v>0.73912999999999995</v>
      </c>
      <c r="H50">
        <v>31684909</v>
      </c>
      <c r="I50">
        <v>33644574</v>
      </c>
      <c r="J50" t="s">
        <v>411</v>
      </c>
      <c r="K50" t="s">
        <v>411</v>
      </c>
      <c r="L50">
        <v>100</v>
      </c>
      <c r="M50">
        <v>77.363668000000004</v>
      </c>
      <c r="N50">
        <v>0.65515999999999996</v>
      </c>
      <c r="O50">
        <v>20758696</v>
      </c>
    </row>
    <row r="51" spans="1:26" x14ac:dyDescent="0.2">
      <c r="B51" s="1" t="s">
        <v>438</v>
      </c>
      <c r="C51">
        <v>11</v>
      </c>
      <c r="D51">
        <v>1</v>
      </c>
      <c r="F51" t="s">
        <v>411</v>
      </c>
      <c r="G51">
        <v>0.73478299999999996</v>
      </c>
      <c r="H51">
        <v>17910948</v>
      </c>
      <c r="I51">
        <v>19555948</v>
      </c>
      <c r="J51" t="s">
        <v>411</v>
      </c>
      <c r="K51" t="s">
        <v>411</v>
      </c>
      <c r="L51">
        <v>100</v>
      </c>
      <c r="M51">
        <v>71.432801999999995</v>
      </c>
      <c r="N51">
        <v>0.69339899999999999</v>
      </c>
      <c r="O51">
        <v>12419435</v>
      </c>
      <c r="R51">
        <v>220.51691166666669</v>
      </c>
      <c r="S51">
        <v>160.43470499999998</v>
      </c>
      <c r="T51">
        <v>169.53886500000002</v>
      </c>
      <c r="U51">
        <v>324.57981666666666</v>
      </c>
      <c r="W51">
        <v>0.99999999999999989</v>
      </c>
      <c r="X51">
        <v>0.72753923400901355</v>
      </c>
      <c r="Y51">
        <v>0.76882477501895607</v>
      </c>
      <c r="Z51">
        <v>1.4719044186384282</v>
      </c>
    </row>
    <row r="52" spans="1:26" ht="17" thickBot="1" x14ac:dyDescent="0.25">
      <c r="B52" s="81" t="s">
        <v>439</v>
      </c>
      <c r="C52">
        <v>12</v>
      </c>
      <c r="D52">
        <v>1</v>
      </c>
      <c r="F52" t="s">
        <v>411</v>
      </c>
      <c r="G52">
        <v>0.73535799999999996</v>
      </c>
      <c r="H52">
        <v>22230248</v>
      </c>
      <c r="I52">
        <v>23911156</v>
      </c>
      <c r="J52" t="s">
        <v>411</v>
      </c>
      <c r="K52" t="s">
        <v>411</v>
      </c>
      <c r="L52">
        <v>100</v>
      </c>
      <c r="M52">
        <v>74.315387999999999</v>
      </c>
      <c r="N52">
        <v>0.63261500000000004</v>
      </c>
      <c r="O52">
        <v>14063192</v>
      </c>
    </row>
    <row r="53" spans="1:26" x14ac:dyDescent="0.2">
      <c r="A53" t="s">
        <v>321</v>
      </c>
      <c r="B53" s="79" t="s">
        <v>225</v>
      </c>
      <c r="C53">
        <v>13</v>
      </c>
      <c r="D53">
        <v>1</v>
      </c>
      <c r="F53" t="s">
        <v>411</v>
      </c>
      <c r="G53">
        <v>0.73969600000000002</v>
      </c>
      <c r="H53">
        <v>21438392</v>
      </c>
      <c r="I53">
        <v>23116151</v>
      </c>
      <c r="J53" t="s">
        <v>411</v>
      </c>
      <c r="K53" t="s">
        <v>411</v>
      </c>
      <c r="L53">
        <v>100</v>
      </c>
      <c r="M53">
        <v>83.523341000000002</v>
      </c>
      <c r="N53">
        <v>0.61784399999999995</v>
      </c>
      <c r="O53">
        <v>13245577</v>
      </c>
    </row>
    <row r="54" spans="1:26" x14ac:dyDescent="0.2">
      <c r="B54" s="80" t="s">
        <v>226</v>
      </c>
      <c r="C54">
        <v>14</v>
      </c>
      <c r="D54">
        <v>1</v>
      </c>
      <c r="F54" t="s">
        <v>411</v>
      </c>
      <c r="G54">
        <v>0.74130399999999996</v>
      </c>
      <c r="H54">
        <v>20098704</v>
      </c>
      <c r="I54">
        <v>21775758</v>
      </c>
      <c r="J54" t="s">
        <v>411</v>
      </c>
      <c r="K54" t="s">
        <v>411</v>
      </c>
      <c r="L54">
        <v>100</v>
      </c>
      <c r="M54">
        <v>74.704419000000001</v>
      </c>
      <c r="N54">
        <v>0.59269000000000005</v>
      </c>
      <c r="O54">
        <v>11912298</v>
      </c>
    </row>
    <row r="55" spans="1:26" x14ac:dyDescent="0.2">
      <c r="B55" s="79" t="s">
        <v>227</v>
      </c>
      <c r="C55">
        <v>15</v>
      </c>
      <c r="D55">
        <v>1</v>
      </c>
      <c r="F55" t="s">
        <v>411</v>
      </c>
      <c r="G55">
        <v>0.74347799999999997</v>
      </c>
      <c r="H55">
        <v>23715260</v>
      </c>
      <c r="I55">
        <v>25637701</v>
      </c>
      <c r="J55" t="s">
        <v>411</v>
      </c>
      <c r="K55" t="s">
        <v>411</v>
      </c>
      <c r="L55">
        <v>100</v>
      </c>
      <c r="M55">
        <v>82.868281999999994</v>
      </c>
      <c r="N55">
        <v>0.69963600000000004</v>
      </c>
      <c r="O55">
        <v>16592040</v>
      </c>
    </row>
    <row r="56" spans="1:26" x14ac:dyDescent="0.2">
      <c r="B56" s="80" t="s">
        <v>228</v>
      </c>
      <c r="C56">
        <v>16</v>
      </c>
      <c r="D56">
        <v>1</v>
      </c>
      <c r="F56" t="s">
        <v>411</v>
      </c>
      <c r="G56">
        <v>0.74509800000000004</v>
      </c>
      <c r="H56">
        <v>27826679</v>
      </c>
      <c r="I56">
        <v>29658786</v>
      </c>
      <c r="J56" t="s">
        <v>411</v>
      </c>
      <c r="K56" t="s">
        <v>411</v>
      </c>
      <c r="L56">
        <v>100</v>
      </c>
      <c r="M56">
        <v>79.641244999999998</v>
      </c>
      <c r="N56">
        <v>0.74456699999999998</v>
      </c>
      <c r="O56">
        <v>20718823</v>
      </c>
    </row>
    <row r="57" spans="1:26" x14ac:dyDescent="0.2">
      <c r="B57" s="1" t="s">
        <v>229</v>
      </c>
      <c r="C57">
        <v>17</v>
      </c>
      <c r="D57">
        <v>1</v>
      </c>
      <c r="F57" t="s">
        <v>411</v>
      </c>
      <c r="G57">
        <v>0.74235799999999996</v>
      </c>
      <c r="H57">
        <v>25184386</v>
      </c>
      <c r="I57">
        <v>27060767</v>
      </c>
      <c r="J57" t="s">
        <v>411</v>
      </c>
      <c r="K57" t="s">
        <v>411</v>
      </c>
      <c r="L57">
        <v>100</v>
      </c>
      <c r="M57">
        <v>79.655179000000004</v>
      </c>
      <c r="N57">
        <v>0.77324300000000001</v>
      </c>
      <c r="O57">
        <v>19473652</v>
      </c>
    </row>
    <row r="58" spans="1:26" ht="17" thickBot="1" x14ac:dyDescent="0.25">
      <c r="B58" s="81" t="s">
        <v>230</v>
      </c>
      <c r="C58">
        <v>18</v>
      </c>
      <c r="D58">
        <v>1</v>
      </c>
      <c r="F58" t="s">
        <v>411</v>
      </c>
      <c r="G58">
        <v>0.741228</v>
      </c>
      <c r="H58">
        <v>25473483</v>
      </c>
      <c r="I58">
        <v>27520474</v>
      </c>
      <c r="J58" t="s">
        <v>411</v>
      </c>
      <c r="K58" t="s">
        <v>411</v>
      </c>
      <c r="L58">
        <v>100</v>
      </c>
      <c r="M58">
        <v>81.513750000000002</v>
      </c>
      <c r="N58">
        <v>0.77653000000000005</v>
      </c>
      <c r="O58">
        <v>19780929</v>
      </c>
    </row>
    <row r="59" spans="1:26" x14ac:dyDescent="0.2">
      <c r="A59" t="s">
        <v>2</v>
      </c>
      <c r="B59" s="1" t="s">
        <v>440</v>
      </c>
      <c r="C59">
        <v>19</v>
      </c>
      <c r="D59">
        <v>1</v>
      </c>
      <c r="F59" t="s">
        <v>411</v>
      </c>
      <c r="G59">
        <v>0.734066</v>
      </c>
      <c r="H59">
        <v>35227769</v>
      </c>
      <c r="I59">
        <v>37494203</v>
      </c>
      <c r="J59" t="s">
        <v>411</v>
      </c>
      <c r="K59" t="s">
        <v>411</v>
      </c>
      <c r="L59">
        <v>100</v>
      </c>
      <c r="M59">
        <v>83.995767999999998</v>
      </c>
      <c r="N59">
        <v>0.68343500000000001</v>
      </c>
      <c r="O59">
        <v>24075897</v>
      </c>
    </row>
    <row r="60" spans="1:26" x14ac:dyDescent="0.2">
      <c r="B60" s="82" t="s">
        <v>441</v>
      </c>
      <c r="C60">
        <v>20</v>
      </c>
      <c r="D60">
        <v>1</v>
      </c>
      <c r="F60" t="s">
        <v>411</v>
      </c>
      <c r="G60">
        <v>0.72467000000000004</v>
      </c>
      <c r="H60">
        <v>27404619</v>
      </c>
      <c r="I60">
        <v>29690135</v>
      </c>
      <c r="J60" t="s">
        <v>411</v>
      </c>
      <c r="K60" t="s">
        <v>411</v>
      </c>
      <c r="L60">
        <v>100</v>
      </c>
      <c r="M60">
        <v>78.577888000000002</v>
      </c>
      <c r="N60">
        <v>0.67710499999999996</v>
      </c>
      <c r="O60">
        <v>18555810</v>
      </c>
    </row>
    <row r="61" spans="1:26" x14ac:dyDescent="0.2">
      <c r="B61" s="1" t="s">
        <v>442</v>
      </c>
      <c r="C61">
        <v>21</v>
      </c>
      <c r="D61">
        <v>1</v>
      </c>
      <c r="F61" t="s">
        <v>411</v>
      </c>
      <c r="G61">
        <v>0.71681399999999995</v>
      </c>
      <c r="H61">
        <v>29281940</v>
      </c>
      <c r="I61">
        <v>31572673</v>
      </c>
      <c r="J61" t="s">
        <v>411</v>
      </c>
      <c r="K61" t="s">
        <v>411</v>
      </c>
      <c r="L61">
        <v>100</v>
      </c>
      <c r="M61">
        <v>85.173575</v>
      </c>
      <c r="N61">
        <v>0.84664099999999998</v>
      </c>
      <c r="O61">
        <v>24791293</v>
      </c>
    </row>
    <row r="62" spans="1:26" x14ac:dyDescent="0.2">
      <c r="B62" s="82" t="s">
        <v>443</v>
      </c>
      <c r="C62">
        <v>22</v>
      </c>
      <c r="D62">
        <v>1</v>
      </c>
      <c r="F62" t="s">
        <v>411</v>
      </c>
      <c r="G62">
        <v>0.71175200000000005</v>
      </c>
      <c r="H62">
        <v>30437576</v>
      </c>
      <c r="I62">
        <v>32867053</v>
      </c>
      <c r="J62" t="s">
        <v>411</v>
      </c>
      <c r="K62" t="s">
        <v>411</v>
      </c>
      <c r="L62">
        <v>100</v>
      </c>
      <c r="M62">
        <v>86.333920000000006</v>
      </c>
      <c r="N62">
        <v>2.1452659999999999</v>
      </c>
      <c r="O62">
        <v>65296685</v>
      </c>
    </row>
    <row r="63" spans="1:26" x14ac:dyDescent="0.2">
      <c r="B63" s="1" t="s">
        <v>444</v>
      </c>
      <c r="C63">
        <v>23</v>
      </c>
      <c r="D63">
        <v>1</v>
      </c>
      <c r="F63" t="s">
        <v>411</v>
      </c>
      <c r="G63">
        <v>0.706013</v>
      </c>
      <c r="H63">
        <v>25303155</v>
      </c>
      <c r="I63">
        <v>27808772</v>
      </c>
      <c r="J63" t="s">
        <v>411</v>
      </c>
      <c r="K63" t="s">
        <v>411</v>
      </c>
      <c r="L63">
        <v>100</v>
      </c>
      <c r="M63">
        <v>88.249758</v>
      </c>
      <c r="N63">
        <v>0.99450499999999997</v>
      </c>
      <c r="O63">
        <v>25164111</v>
      </c>
    </row>
    <row r="64" spans="1:26" ht="17" thickBot="1" x14ac:dyDescent="0.25">
      <c r="B64" s="81" t="s">
        <v>445</v>
      </c>
      <c r="C64">
        <v>24</v>
      </c>
      <c r="D64">
        <v>1</v>
      </c>
      <c r="F64" t="s">
        <v>411</v>
      </c>
      <c r="G64">
        <v>0.69866099999999998</v>
      </c>
      <c r="H64">
        <v>35277495</v>
      </c>
      <c r="I64">
        <v>38058015</v>
      </c>
      <c r="J64" t="s">
        <v>411</v>
      </c>
      <c r="K64" t="s">
        <v>411</v>
      </c>
      <c r="L64">
        <v>100</v>
      </c>
      <c r="M64">
        <v>84.750575999999995</v>
      </c>
      <c r="N64">
        <v>1.044975</v>
      </c>
      <c r="O64">
        <v>36864094</v>
      </c>
    </row>
    <row r="72" spans="1:25" x14ac:dyDescent="0.2">
      <c r="B72" s="78" t="s">
        <v>449</v>
      </c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t="s">
        <v>450</v>
      </c>
    </row>
    <row r="73" spans="1:25" x14ac:dyDescent="0.2">
      <c r="B73" t="s">
        <v>396</v>
      </c>
      <c r="C73" t="s">
        <v>397</v>
      </c>
      <c r="D73" t="s">
        <v>398</v>
      </c>
      <c r="E73" t="s">
        <v>399</v>
      </c>
      <c r="F73" t="s">
        <v>400</v>
      </c>
      <c r="G73" t="s">
        <v>401</v>
      </c>
      <c r="H73" t="s">
        <v>402</v>
      </c>
      <c r="I73" t="s">
        <v>403</v>
      </c>
      <c r="J73" t="s">
        <v>404</v>
      </c>
      <c r="K73" t="s">
        <v>405</v>
      </c>
      <c r="L73" t="s">
        <v>406</v>
      </c>
      <c r="M73" t="s">
        <v>407</v>
      </c>
      <c r="N73" t="s">
        <v>408</v>
      </c>
      <c r="O73" t="s">
        <v>409</v>
      </c>
      <c r="Q73" t="s">
        <v>0</v>
      </c>
      <c r="R73" t="s">
        <v>1</v>
      </c>
      <c r="S73" t="s">
        <v>451</v>
      </c>
      <c r="T73" t="s">
        <v>452</v>
      </c>
      <c r="V73" t="s">
        <v>0</v>
      </c>
      <c r="W73" t="s">
        <v>1</v>
      </c>
      <c r="X73" t="s">
        <v>451</v>
      </c>
      <c r="Y73" t="s">
        <v>452</v>
      </c>
    </row>
    <row r="74" spans="1:25" x14ac:dyDescent="0.2">
      <c r="A74" t="s">
        <v>0</v>
      </c>
      <c r="B74" s="71" t="s">
        <v>453</v>
      </c>
      <c r="C74">
        <v>1</v>
      </c>
      <c r="D74">
        <v>1</v>
      </c>
      <c r="F74" t="s">
        <v>411</v>
      </c>
      <c r="G74">
        <v>0.67546200000000001</v>
      </c>
      <c r="H74">
        <v>33813405</v>
      </c>
      <c r="I74">
        <v>36706230</v>
      </c>
      <c r="J74" t="s">
        <v>411</v>
      </c>
      <c r="K74" t="s">
        <v>411</v>
      </c>
      <c r="L74">
        <v>100</v>
      </c>
      <c r="M74">
        <v>75.476316999999995</v>
      </c>
      <c r="N74">
        <v>1</v>
      </c>
      <c r="O74">
        <v>33813405</v>
      </c>
      <c r="Q74">
        <f t="shared" ref="Q74:Q79" si="0">O74/100000</f>
        <v>338.13405</v>
      </c>
      <c r="R74">
        <f t="shared" ref="R74:R79" si="1">O80/100000</f>
        <v>324.55930000000001</v>
      </c>
      <c r="S74">
        <f t="shared" ref="S74:S79" si="2">O86/100000</f>
        <v>517.58019999999999</v>
      </c>
      <c r="T74">
        <f>O92/100000</f>
        <v>186.21831</v>
      </c>
      <c r="V74">
        <f>Q74/Q81</f>
        <v>1.1110168411133188</v>
      </c>
      <c r="W74">
        <f>R74/Q81</f>
        <v>1.0664138918868122</v>
      </c>
      <c r="X74">
        <f>S74/Q81</f>
        <v>1.7006282532823884</v>
      </c>
      <c r="Y74">
        <f>T74/Q81</f>
        <v>0.61186289441616648</v>
      </c>
    </row>
    <row r="75" spans="1:25" x14ac:dyDescent="0.2">
      <c r="B75" s="83" t="s">
        <v>454</v>
      </c>
      <c r="C75">
        <v>2</v>
      </c>
      <c r="D75">
        <v>1</v>
      </c>
      <c r="F75" t="s">
        <v>411</v>
      </c>
      <c r="G75">
        <v>0.68337700000000001</v>
      </c>
      <c r="H75">
        <v>35622000</v>
      </c>
      <c r="I75">
        <v>38390985</v>
      </c>
      <c r="J75" t="s">
        <v>411</v>
      </c>
      <c r="K75" t="s">
        <v>411</v>
      </c>
      <c r="L75">
        <v>100</v>
      </c>
      <c r="M75">
        <v>76.015175999999997</v>
      </c>
      <c r="N75">
        <v>0.89871999999999996</v>
      </c>
      <c r="O75">
        <v>32014210</v>
      </c>
      <c r="Q75">
        <f t="shared" si="0"/>
        <v>320.14210000000003</v>
      </c>
      <c r="R75">
        <f t="shared" si="1"/>
        <v>215.74992</v>
      </c>
      <c r="S75">
        <f t="shared" si="2"/>
        <v>371.42693000000003</v>
      </c>
      <c r="T75">
        <f>O93/100000</f>
        <v>359.84258999999997</v>
      </c>
      <c r="V75">
        <f>Q75/Q81</f>
        <v>1.0519001699159971</v>
      </c>
      <c r="W75">
        <f>R75/Q81</f>
        <v>0.70889576068677862</v>
      </c>
      <c r="X75">
        <f>S75/Q81</f>
        <v>1.2204082211567211</v>
      </c>
      <c r="Y75">
        <f>T75/Q81</f>
        <v>1.1823452197134099</v>
      </c>
    </row>
    <row r="76" spans="1:25" x14ac:dyDescent="0.2">
      <c r="B76" s="71" t="s">
        <v>455</v>
      </c>
      <c r="C76">
        <v>3</v>
      </c>
      <c r="D76">
        <v>1</v>
      </c>
      <c r="F76" t="s">
        <v>411</v>
      </c>
      <c r="G76">
        <v>0.69393099999999996</v>
      </c>
      <c r="H76">
        <v>30135690</v>
      </c>
      <c r="I76">
        <v>32704290</v>
      </c>
      <c r="J76" t="s">
        <v>411</v>
      </c>
      <c r="K76" t="s">
        <v>411</v>
      </c>
      <c r="L76">
        <v>100</v>
      </c>
      <c r="M76">
        <v>73.399942999999993</v>
      </c>
      <c r="N76">
        <v>0.82682199999999995</v>
      </c>
      <c r="O76">
        <v>24916865</v>
      </c>
      <c r="Q76">
        <f t="shared" si="0"/>
        <v>249.16865000000001</v>
      </c>
      <c r="R76">
        <f t="shared" si="1"/>
        <v>303.68016999999998</v>
      </c>
      <c r="S76">
        <f t="shared" si="2"/>
        <v>409.94036</v>
      </c>
      <c r="T76">
        <f>O94/100000</f>
        <v>206.68248</v>
      </c>
      <c r="V76">
        <f>Q76/Q81</f>
        <v>0.81870064972004497</v>
      </c>
      <c r="W76">
        <f>R76/Q81</f>
        <v>0.9978107297450689</v>
      </c>
      <c r="X76">
        <f>S76/Q81</f>
        <v>1.3469529135325375</v>
      </c>
      <c r="Y76">
        <f>T76/Q81</f>
        <v>0.67910261046785048</v>
      </c>
    </row>
    <row r="77" spans="1:25" x14ac:dyDescent="0.2">
      <c r="B77" s="83" t="s">
        <v>456</v>
      </c>
      <c r="C77">
        <v>4</v>
      </c>
      <c r="D77">
        <v>1</v>
      </c>
      <c r="F77" t="s">
        <v>411</v>
      </c>
      <c r="G77">
        <v>0.70712399999999997</v>
      </c>
      <c r="H77">
        <v>30227085</v>
      </c>
      <c r="I77">
        <v>32568390</v>
      </c>
      <c r="J77" t="s">
        <v>411</v>
      </c>
      <c r="K77" t="s">
        <v>411</v>
      </c>
      <c r="L77">
        <v>100</v>
      </c>
      <c r="M77">
        <v>69.819845999999998</v>
      </c>
      <c r="N77">
        <v>1.022397</v>
      </c>
      <c r="O77">
        <v>30904079</v>
      </c>
      <c r="Q77">
        <f t="shared" si="0"/>
        <v>309.04079000000002</v>
      </c>
      <c r="R77">
        <f t="shared" si="1"/>
        <v>226.59446</v>
      </c>
      <c r="S77">
        <f t="shared" si="2"/>
        <v>420.77197000000001</v>
      </c>
      <c r="T77">
        <f>O95/100000</f>
        <v>372.00484</v>
      </c>
      <c r="V77">
        <f>Q77/Q81</f>
        <v>1.0154242741331863</v>
      </c>
      <c r="W77">
        <f>R77/Q81</f>
        <v>0.74452797984402419</v>
      </c>
      <c r="X77">
        <f>S77/Q81</f>
        <v>1.3825426482143048</v>
      </c>
      <c r="Y77">
        <f>T77/Q81</f>
        <v>1.2223070767811333</v>
      </c>
    </row>
    <row r="78" spans="1:25" x14ac:dyDescent="0.2">
      <c r="B78" s="71" t="s">
        <v>457</v>
      </c>
      <c r="C78">
        <v>5</v>
      </c>
      <c r="D78">
        <v>1</v>
      </c>
      <c r="F78" t="s">
        <v>411</v>
      </c>
      <c r="G78">
        <v>0.71240099999999995</v>
      </c>
      <c r="H78">
        <v>23636970</v>
      </c>
      <c r="I78">
        <v>25787970</v>
      </c>
      <c r="J78" t="s">
        <v>411</v>
      </c>
      <c r="K78" t="s">
        <v>411</v>
      </c>
      <c r="L78">
        <v>100</v>
      </c>
      <c r="M78">
        <v>71.170687000000001</v>
      </c>
      <c r="N78">
        <v>1.3683110000000001</v>
      </c>
      <c r="O78">
        <v>32342730</v>
      </c>
      <c r="Q78">
        <f t="shared" si="0"/>
        <v>323.4273</v>
      </c>
      <c r="R78">
        <f t="shared" si="1"/>
        <v>312.59857</v>
      </c>
      <c r="S78">
        <f t="shared" si="2"/>
        <v>469.03739999999999</v>
      </c>
      <c r="V78">
        <f>Q78/Q81</f>
        <v>1.062694446701862</v>
      </c>
      <c r="W78">
        <f>R78/Q81</f>
        <v>1.027114174919505</v>
      </c>
      <c r="X78">
        <f>S78/Q81</f>
        <v>1.5411297694272557</v>
      </c>
    </row>
    <row r="79" spans="1:25" ht="17" thickBot="1" x14ac:dyDescent="0.25">
      <c r="B79" s="84" t="s">
        <v>458</v>
      </c>
      <c r="C79">
        <v>6</v>
      </c>
      <c r="D79">
        <v>1</v>
      </c>
      <c r="F79" t="s">
        <v>411</v>
      </c>
      <c r="G79">
        <v>0.71767800000000004</v>
      </c>
      <c r="H79">
        <v>21780180</v>
      </c>
      <c r="I79">
        <v>23673285</v>
      </c>
      <c r="J79" t="s">
        <v>411</v>
      </c>
      <c r="K79" t="s">
        <v>411</v>
      </c>
      <c r="L79">
        <v>100</v>
      </c>
      <c r="M79">
        <v>69.935295999999994</v>
      </c>
      <c r="N79">
        <v>1.313882</v>
      </c>
      <c r="O79">
        <v>28616591</v>
      </c>
      <c r="Q79">
        <f t="shared" si="0"/>
        <v>286.16591</v>
      </c>
      <c r="R79">
        <f t="shared" si="1"/>
        <v>432.77055999999999</v>
      </c>
      <c r="S79">
        <f t="shared" si="2"/>
        <v>352.56339000000003</v>
      </c>
      <c r="V79">
        <f>Q79/Q81</f>
        <v>0.94026361841559081</v>
      </c>
      <c r="W79">
        <f>R79/Q81</f>
        <v>1.4219667628801123</v>
      </c>
      <c r="X79">
        <f>S79/Q81</f>
        <v>1.1584277414534356</v>
      </c>
    </row>
    <row r="80" spans="1:25" x14ac:dyDescent="0.2">
      <c r="A80" t="s">
        <v>1</v>
      </c>
      <c r="B80" s="71" t="s">
        <v>459</v>
      </c>
      <c r="C80">
        <v>7</v>
      </c>
      <c r="D80">
        <v>1</v>
      </c>
      <c r="F80" t="s">
        <v>411</v>
      </c>
      <c r="G80">
        <v>0.72031699999999999</v>
      </c>
      <c r="H80">
        <v>23850045</v>
      </c>
      <c r="I80">
        <v>25689285</v>
      </c>
      <c r="J80" t="s">
        <v>411</v>
      </c>
      <c r="K80" t="s">
        <v>411</v>
      </c>
      <c r="L80">
        <v>100</v>
      </c>
      <c r="M80">
        <v>72.238911000000002</v>
      </c>
      <c r="N80">
        <v>1.360833</v>
      </c>
      <c r="O80">
        <v>32455930</v>
      </c>
    </row>
    <row r="81" spans="1:25" x14ac:dyDescent="0.2">
      <c r="B81" s="83" t="s">
        <v>460</v>
      </c>
      <c r="C81">
        <v>8</v>
      </c>
      <c r="D81">
        <v>1</v>
      </c>
      <c r="F81" t="s">
        <v>411</v>
      </c>
      <c r="G81">
        <v>0.71504000000000001</v>
      </c>
      <c r="H81">
        <v>25832610</v>
      </c>
      <c r="I81">
        <v>27517590</v>
      </c>
      <c r="J81" t="s">
        <v>411</v>
      </c>
      <c r="K81" t="s">
        <v>411</v>
      </c>
      <c r="L81">
        <v>100</v>
      </c>
      <c r="M81">
        <v>69.769856000000004</v>
      </c>
      <c r="N81">
        <v>0.83518400000000004</v>
      </c>
      <c r="O81">
        <v>21574992</v>
      </c>
      <c r="Q81">
        <f>AVERAGE(Q74:Q79)</f>
        <v>304.34646666666669</v>
      </c>
      <c r="R81">
        <f>AVERAGE(R74:R79)</f>
        <v>302.65883000000002</v>
      </c>
      <c r="S81">
        <f>AVERAGE(S74:S79)</f>
        <v>423.55337499999996</v>
      </c>
      <c r="T81">
        <f>AVERAGE(T74:T79)</f>
        <v>281.18705499999999</v>
      </c>
      <c r="V81">
        <f>AVERAGE(V74:V79)</f>
        <v>1</v>
      </c>
      <c r="W81">
        <f>AVERAGE(W74:W79)</f>
        <v>0.99445488332705023</v>
      </c>
      <c r="X81">
        <f>AVERAGE(X74:X79)</f>
        <v>1.3916815911777738</v>
      </c>
      <c r="Y81">
        <f>AVERAGE(Y74:Y79)</f>
        <v>0.92390445034463997</v>
      </c>
    </row>
    <row r="82" spans="1:25" x14ac:dyDescent="0.2">
      <c r="B82" s="71" t="s">
        <v>461</v>
      </c>
      <c r="C82">
        <v>9</v>
      </c>
      <c r="D82">
        <v>1</v>
      </c>
      <c r="F82" t="s">
        <v>411</v>
      </c>
      <c r="G82">
        <v>0.71504000000000001</v>
      </c>
      <c r="H82">
        <v>19883025</v>
      </c>
      <c r="I82">
        <v>21533175</v>
      </c>
      <c r="J82" t="s">
        <v>411</v>
      </c>
      <c r="K82" t="s">
        <v>411</v>
      </c>
      <c r="L82">
        <v>100</v>
      </c>
      <c r="M82">
        <v>72.478876</v>
      </c>
      <c r="N82">
        <v>1.527334</v>
      </c>
      <c r="O82">
        <v>30368017</v>
      </c>
    </row>
    <row r="83" spans="1:25" x14ac:dyDescent="0.2">
      <c r="B83" s="83" t="s">
        <v>462</v>
      </c>
      <c r="C83">
        <v>10</v>
      </c>
      <c r="D83">
        <v>1</v>
      </c>
      <c r="F83" t="s">
        <v>411</v>
      </c>
      <c r="G83">
        <v>0.71240099999999995</v>
      </c>
      <c r="H83">
        <v>17323245</v>
      </c>
      <c r="I83">
        <v>19036665</v>
      </c>
      <c r="J83" t="s">
        <v>411</v>
      </c>
      <c r="K83" t="s">
        <v>411</v>
      </c>
      <c r="L83">
        <v>100</v>
      </c>
      <c r="M83">
        <v>70.787401000000003</v>
      </c>
      <c r="N83">
        <v>1.3080369999999999</v>
      </c>
      <c r="O83">
        <v>22659446</v>
      </c>
    </row>
    <row r="84" spans="1:25" x14ac:dyDescent="0.2">
      <c r="B84" s="71" t="s">
        <v>463</v>
      </c>
      <c r="C84">
        <v>11</v>
      </c>
      <c r="D84">
        <v>1</v>
      </c>
      <c r="F84" t="s">
        <v>411</v>
      </c>
      <c r="G84">
        <v>0.71240099999999995</v>
      </c>
      <c r="H84">
        <v>22977810</v>
      </c>
      <c r="I84">
        <v>24946425</v>
      </c>
      <c r="J84" t="s">
        <v>411</v>
      </c>
      <c r="K84" t="s">
        <v>411</v>
      </c>
      <c r="L84">
        <v>100</v>
      </c>
      <c r="M84">
        <v>73.068601000000001</v>
      </c>
      <c r="N84">
        <v>1.3604369999999999</v>
      </c>
      <c r="O84">
        <v>31259857</v>
      </c>
    </row>
    <row r="85" spans="1:25" ht="17" thickBot="1" x14ac:dyDescent="0.25">
      <c r="B85" s="84" t="s">
        <v>464</v>
      </c>
      <c r="C85">
        <v>12</v>
      </c>
      <c r="D85">
        <v>1</v>
      </c>
      <c r="F85" t="s">
        <v>411</v>
      </c>
      <c r="G85">
        <v>0.71504000000000001</v>
      </c>
      <c r="H85">
        <v>27491355</v>
      </c>
      <c r="I85">
        <v>29346390</v>
      </c>
      <c r="J85" t="s">
        <v>411</v>
      </c>
      <c r="K85" t="s">
        <v>411</v>
      </c>
      <c r="L85">
        <v>100</v>
      </c>
      <c r="M85">
        <v>74.516675000000006</v>
      </c>
      <c r="N85">
        <v>1.574206</v>
      </c>
      <c r="O85">
        <v>43277056</v>
      </c>
    </row>
    <row r="86" spans="1:25" x14ac:dyDescent="0.2">
      <c r="A86" t="s">
        <v>321</v>
      </c>
      <c r="B86" s="71" t="s">
        <v>217</v>
      </c>
      <c r="C86">
        <v>13</v>
      </c>
      <c r="D86">
        <v>1</v>
      </c>
      <c r="F86" t="s">
        <v>411</v>
      </c>
      <c r="G86">
        <v>0.71767800000000004</v>
      </c>
      <c r="H86">
        <v>34512390</v>
      </c>
      <c r="I86">
        <v>36561150</v>
      </c>
      <c r="J86" t="s">
        <v>411</v>
      </c>
      <c r="K86" t="s">
        <v>411</v>
      </c>
      <c r="L86">
        <v>100</v>
      </c>
      <c r="M86">
        <v>77.617459999999994</v>
      </c>
      <c r="N86">
        <v>1.4996940000000001</v>
      </c>
      <c r="O86">
        <v>51758020</v>
      </c>
    </row>
    <row r="87" spans="1:25" x14ac:dyDescent="0.2">
      <c r="B87" s="83" t="s">
        <v>219</v>
      </c>
      <c r="C87">
        <v>14</v>
      </c>
      <c r="D87">
        <v>1</v>
      </c>
      <c r="F87" t="s">
        <v>411</v>
      </c>
      <c r="G87">
        <v>0.72031699999999999</v>
      </c>
      <c r="H87">
        <v>31152330</v>
      </c>
      <c r="I87">
        <v>33346620</v>
      </c>
      <c r="J87" t="s">
        <v>411</v>
      </c>
      <c r="K87" t="s">
        <v>411</v>
      </c>
      <c r="L87">
        <v>100</v>
      </c>
      <c r="M87">
        <v>78.299935000000005</v>
      </c>
      <c r="N87">
        <v>1.192293</v>
      </c>
      <c r="O87">
        <v>37142693</v>
      </c>
    </row>
    <row r="88" spans="1:25" x14ac:dyDescent="0.2">
      <c r="B88" s="71" t="s">
        <v>221</v>
      </c>
      <c r="C88">
        <v>15</v>
      </c>
      <c r="D88">
        <v>1</v>
      </c>
      <c r="F88" t="s">
        <v>411</v>
      </c>
      <c r="G88">
        <v>0.73087100000000005</v>
      </c>
      <c r="H88">
        <v>32488605</v>
      </c>
      <c r="I88">
        <v>34315110</v>
      </c>
      <c r="J88" t="s">
        <v>411</v>
      </c>
      <c r="K88" t="s">
        <v>411</v>
      </c>
      <c r="L88">
        <v>100</v>
      </c>
      <c r="M88">
        <v>69.809484999999995</v>
      </c>
      <c r="N88">
        <v>1.2617970000000001</v>
      </c>
      <c r="O88">
        <v>40994036</v>
      </c>
    </row>
    <row r="89" spans="1:25" x14ac:dyDescent="0.2">
      <c r="B89" s="83" t="s">
        <v>222</v>
      </c>
      <c r="C89">
        <v>16</v>
      </c>
      <c r="D89">
        <v>1</v>
      </c>
      <c r="F89" t="s">
        <v>411</v>
      </c>
      <c r="G89">
        <v>0.73614800000000002</v>
      </c>
      <c r="H89">
        <v>29528865</v>
      </c>
      <c r="I89">
        <v>31172085</v>
      </c>
      <c r="J89" t="s">
        <v>411</v>
      </c>
      <c r="K89" t="s">
        <v>411</v>
      </c>
      <c r="L89">
        <v>100</v>
      </c>
      <c r="M89">
        <v>71.454144999999997</v>
      </c>
      <c r="N89">
        <v>1.4249510000000001</v>
      </c>
      <c r="O89">
        <v>42077197</v>
      </c>
    </row>
    <row r="90" spans="1:25" x14ac:dyDescent="0.2">
      <c r="B90" s="71" t="s">
        <v>223</v>
      </c>
      <c r="C90">
        <v>17</v>
      </c>
      <c r="D90">
        <v>1</v>
      </c>
      <c r="F90" t="s">
        <v>411</v>
      </c>
      <c r="G90">
        <v>0.73087100000000005</v>
      </c>
      <c r="H90">
        <v>25713180</v>
      </c>
      <c r="I90">
        <v>27328860</v>
      </c>
      <c r="J90" t="s">
        <v>411</v>
      </c>
      <c r="K90" t="s">
        <v>411</v>
      </c>
      <c r="L90">
        <v>100</v>
      </c>
      <c r="M90">
        <v>74.776712000000003</v>
      </c>
      <c r="N90">
        <v>1.8241130000000001</v>
      </c>
      <c r="O90">
        <v>46903740</v>
      </c>
    </row>
    <row r="91" spans="1:25" ht="17" thickBot="1" x14ac:dyDescent="0.25">
      <c r="B91" s="84" t="s">
        <v>224</v>
      </c>
      <c r="C91">
        <v>18</v>
      </c>
      <c r="D91">
        <v>1</v>
      </c>
      <c r="F91" t="s">
        <v>411</v>
      </c>
      <c r="G91">
        <v>0.72559399999999996</v>
      </c>
      <c r="H91">
        <v>22929300</v>
      </c>
      <c r="I91">
        <v>24635160</v>
      </c>
      <c r="J91" t="s">
        <v>411</v>
      </c>
      <c r="K91" t="s">
        <v>411</v>
      </c>
      <c r="L91">
        <v>100</v>
      </c>
      <c r="M91">
        <v>74.316509999999994</v>
      </c>
      <c r="N91">
        <v>1.5376110000000001</v>
      </c>
      <c r="O91">
        <v>35256339</v>
      </c>
    </row>
    <row r="92" spans="1:25" x14ac:dyDescent="0.2">
      <c r="A92" t="s">
        <v>2</v>
      </c>
      <c r="B92" s="71" t="s">
        <v>465</v>
      </c>
      <c r="C92">
        <v>19</v>
      </c>
      <c r="D92">
        <v>1</v>
      </c>
      <c r="F92" t="s">
        <v>411</v>
      </c>
      <c r="G92">
        <v>0.71767800000000004</v>
      </c>
      <c r="H92">
        <v>12364560</v>
      </c>
      <c r="I92">
        <v>13823280</v>
      </c>
      <c r="J92" t="s">
        <v>411</v>
      </c>
      <c r="K92" t="s">
        <v>411</v>
      </c>
      <c r="L92">
        <v>100</v>
      </c>
      <c r="M92">
        <v>72.978385000000003</v>
      </c>
      <c r="N92">
        <v>1.506065</v>
      </c>
      <c r="O92">
        <v>18621831</v>
      </c>
    </row>
    <row r="93" spans="1:25" x14ac:dyDescent="0.2">
      <c r="B93" s="83" t="s">
        <v>466</v>
      </c>
      <c r="C93">
        <v>20</v>
      </c>
      <c r="D93">
        <v>1</v>
      </c>
      <c r="F93" t="s">
        <v>411</v>
      </c>
      <c r="G93">
        <v>0.70976300000000003</v>
      </c>
      <c r="H93">
        <v>17420715</v>
      </c>
      <c r="I93">
        <v>19016505</v>
      </c>
      <c r="J93" t="s">
        <v>411</v>
      </c>
      <c r="K93" t="s">
        <v>411</v>
      </c>
      <c r="L93">
        <v>100</v>
      </c>
      <c r="M93">
        <v>76.794608999999994</v>
      </c>
      <c r="N93">
        <v>2.0656020000000002</v>
      </c>
      <c r="O93">
        <v>35984259</v>
      </c>
    </row>
    <row r="94" spans="1:25" x14ac:dyDescent="0.2">
      <c r="B94" s="71" t="s">
        <v>440</v>
      </c>
      <c r="C94">
        <v>21</v>
      </c>
      <c r="D94">
        <v>1</v>
      </c>
      <c r="F94" t="s">
        <v>411</v>
      </c>
      <c r="G94">
        <v>0.69920800000000005</v>
      </c>
      <c r="H94">
        <v>15640920</v>
      </c>
      <c r="I94">
        <v>17289945</v>
      </c>
      <c r="J94" t="s">
        <v>411</v>
      </c>
      <c r="K94" t="s">
        <v>411</v>
      </c>
      <c r="L94">
        <v>100</v>
      </c>
      <c r="M94">
        <v>70.695100999999994</v>
      </c>
      <c r="N94">
        <v>1.3214220000000001</v>
      </c>
      <c r="O94">
        <v>20668248</v>
      </c>
    </row>
    <row r="95" spans="1:25" ht="17" thickBot="1" x14ac:dyDescent="0.25">
      <c r="B95" s="84" t="s">
        <v>441</v>
      </c>
      <c r="C95">
        <v>22</v>
      </c>
      <c r="D95">
        <v>1</v>
      </c>
      <c r="F95" t="s">
        <v>411</v>
      </c>
      <c r="G95">
        <v>0.69129300000000005</v>
      </c>
      <c r="H95">
        <v>19905840</v>
      </c>
      <c r="I95">
        <v>21970440</v>
      </c>
      <c r="J95" t="s">
        <v>411</v>
      </c>
      <c r="K95" t="s">
        <v>411</v>
      </c>
      <c r="L95">
        <v>100</v>
      </c>
      <c r="M95">
        <v>75.451153000000005</v>
      </c>
      <c r="N95">
        <v>1.8688229999999999</v>
      </c>
      <c r="O95">
        <v>37200484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2ab by day</vt:lpstr>
      <vt:lpstr>Figure 2abcd - by animal</vt:lpstr>
      <vt:lpstr>Figure 2c</vt:lpstr>
      <vt:lpstr>Figure 2d</vt:lpstr>
      <vt:lpstr>Figure 2d shRNA western</vt:lpstr>
      <vt:lpstr>Figure 3d</vt:lpstr>
      <vt:lpstr>Figure 5D</vt:lpstr>
      <vt:lpstr>Figure 5E</vt:lpstr>
      <vt:lpstr>Figure 6A</vt:lpstr>
      <vt:lpstr>Figure 6B</vt:lpstr>
      <vt:lpstr>Figure 6C</vt:lpstr>
      <vt:lpstr>Figure 6D</vt:lpstr>
      <vt:lpstr>Figure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Wolf-Johnston, Amanda Sue</dc:creator>
  <cp:lastModifiedBy>Wolf-Johnston, Amanda Sue</cp:lastModifiedBy>
  <dcterms:created xsi:type="dcterms:W3CDTF">2025-08-26T13:05:19Z</dcterms:created>
  <dcterms:modified xsi:type="dcterms:W3CDTF">2026-02-10T14:04:24Z</dcterms:modified>
</cp:coreProperties>
</file>