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koller\Documents\bhkTS\##ARCHIVES projects 25-07-30\!!$$2024 August RESTART GAIN of Function PAPER\!2025-JCI-INSIGHT\!!!2026-DataAvail and new figures\"/>
    </mc:Choice>
  </mc:AlternateContent>
  <xr:revisionPtr revIDLastSave="0" documentId="8_{8FC2699F-7D08-4992-BC1C-9B74CFAB5726}" xr6:coauthVersionLast="47" xr6:coauthVersionMax="47" xr10:uidLastSave="{00000000-0000-0000-0000-000000000000}"/>
  <bookViews>
    <workbookView xWindow="25080" yWindow="-120" windowWidth="25440" windowHeight="15270" activeTab="3" xr2:uid="{8EBC8322-DB4F-4F9F-83A4-C5DDB280D42E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Sup Figure 1" sheetId="6" r:id="rId6"/>
    <sheet name="Sup Figure 2" sheetId="7" r:id="rId7"/>
  </sheets>
  <definedNames>
    <definedName name="_xlnm.Print_Area" localSheetId="0">'Figure 1'!$A$1:$F$136</definedName>
    <definedName name="_xlnm.Print_Area" localSheetId="3">'Figure 4'!$A$166:$K$193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7" i="3" l="1"/>
  <c r="I127" i="3"/>
  <c r="H127" i="3"/>
  <c r="G127" i="3"/>
  <c r="J126" i="3"/>
  <c r="I126" i="3"/>
  <c r="H126" i="3"/>
  <c r="G126" i="3"/>
  <c r="J125" i="3"/>
  <c r="I125" i="3"/>
  <c r="H125" i="3"/>
  <c r="G125" i="3"/>
  <c r="J124" i="3"/>
  <c r="I124" i="3"/>
  <c r="H124" i="3"/>
  <c r="G124" i="3"/>
  <c r="J123" i="3"/>
  <c r="J128" i="3" s="1"/>
  <c r="I123" i="3"/>
  <c r="I128" i="3" s="1"/>
  <c r="H123" i="3"/>
  <c r="H128" i="3" s="1"/>
  <c r="G123" i="3"/>
  <c r="G128" i="3" s="1"/>
  <c r="H119" i="3"/>
  <c r="K118" i="3"/>
  <c r="J118" i="3"/>
  <c r="I118" i="3"/>
  <c r="H118" i="3"/>
  <c r="G118" i="3"/>
  <c r="K117" i="3"/>
  <c r="J117" i="3"/>
  <c r="I117" i="3"/>
  <c r="H117" i="3"/>
  <c r="G117" i="3"/>
  <c r="K116" i="3"/>
  <c r="K119" i="3" s="1"/>
  <c r="J116" i="3"/>
  <c r="I116" i="3"/>
  <c r="H116" i="3"/>
  <c r="G116" i="3"/>
  <c r="K115" i="3"/>
  <c r="J115" i="3"/>
  <c r="I115" i="3"/>
  <c r="H115" i="3"/>
  <c r="G115" i="3"/>
  <c r="G119" i="3" s="1"/>
  <c r="K114" i="3"/>
  <c r="J114" i="3"/>
  <c r="J119" i="3" s="1"/>
  <c r="I114" i="3"/>
  <c r="I119" i="3" s="1"/>
  <c r="H114" i="3"/>
  <c r="G114" i="3"/>
  <c r="J109" i="3"/>
  <c r="I109" i="3"/>
  <c r="H109" i="3"/>
  <c r="G109" i="3"/>
  <c r="J108" i="3"/>
  <c r="I108" i="3"/>
  <c r="H108" i="3"/>
  <c r="G108" i="3"/>
  <c r="J107" i="3"/>
  <c r="I107" i="3"/>
  <c r="H107" i="3"/>
  <c r="G107" i="3"/>
  <c r="J106" i="3"/>
  <c r="I106" i="3"/>
  <c r="H106" i="3"/>
  <c r="G106" i="3"/>
  <c r="J105" i="3"/>
  <c r="I105" i="3"/>
  <c r="H105" i="3"/>
  <c r="G105" i="3"/>
  <c r="J101" i="3"/>
  <c r="I101" i="3"/>
  <c r="H101" i="3"/>
  <c r="G101" i="3"/>
  <c r="J100" i="3"/>
  <c r="I100" i="3"/>
  <c r="H100" i="3"/>
  <c r="G100" i="3"/>
  <c r="J99" i="3"/>
  <c r="I99" i="3"/>
  <c r="H99" i="3"/>
  <c r="G99" i="3"/>
  <c r="J98" i="3"/>
  <c r="J102" i="3" s="1"/>
  <c r="I98" i="3"/>
  <c r="H98" i="3"/>
  <c r="G98" i="3"/>
  <c r="J97" i="3"/>
  <c r="I97" i="3"/>
  <c r="I102" i="3" s="1"/>
  <c r="H97" i="3"/>
  <c r="H102" i="3" s="1"/>
  <c r="G97" i="3"/>
  <c r="G102" i="3" s="1"/>
  <c r="B105" i="1"/>
  <c r="F66" i="5"/>
  <c r="E66" i="5"/>
  <c r="D66" i="5"/>
  <c r="C66" i="5"/>
  <c r="B66" i="5"/>
  <c r="AA50" i="5"/>
  <c r="AK50" i="5" s="1"/>
  <c r="AU50" i="5" s="1"/>
  <c r="Z50" i="5"/>
  <c r="AJ50" i="5" s="1"/>
  <c r="AT50" i="5" s="1"/>
  <c r="Y50" i="5"/>
  <c r="AI50" i="5" s="1"/>
  <c r="AS50" i="5" s="1"/>
  <c r="X50" i="5"/>
  <c r="AH50" i="5" s="1"/>
  <c r="AR50" i="5" s="1"/>
  <c r="W50" i="5"/>
  <c r="AG50" i="5" s="1"/>
  <c r="AQ50" i="5" s="1"/>
  <c r="V50" i="5"/>
  <c r="AF50" i="5" s="1"/>
  <c r="AP50" i="5" s="1"/>
  <c r="U50" i="5"/>
  <c r="AE50" i="5" s="1"/>
  <c r="AO50" i="5" s="1"/>
  <c r="T50" i="5"/>
  <c r="AD50" i="5" s="1"/>
  <c r="AN50" i="5" s="1"/>
  <c r="S50" i="5"/>
  <c r="AC50" i="5" s="1"/>
  <c r="AM50" i="5" s="1"/>
  <c r="AD49" i="5"/>
  <c r="AN49" i="5" s="1"/>
  <c r="AC49" i="5"/>
  <c r="AM49" i="5" s="1"/>
  <c r="AA49" i="5"/>
  <c r="AK49" i="5" s="1"/>
  <c r="AU49" i="5" s="1"/>
  <c r="Z49" i="5"/>
  <c r="AJ49" i="5" s="1"/>
  <c r="AT49" i="5" s="1"/>
  <c r="Y49" i="5"/>
  <c r="AI49" i="5" s="1"/>
  <c r="AS49" i="5" s="1"/>
  <c r="X49" i="5"/>
  <c r="AH49" i="5" s="1"/>
  <c r="AR49" i="5" s="1"/>
  <c r="W49" i="5"/>
  <c r="AG49" i="5" s="1"/>
  <c r="AQ49" i="5" s="1"/>
  <c r="V49" i="5"/>
  <c r="AF49" i="5" s="1"/>
  <c r="AP49" i="5" s="1"/>
  <c r="U49" i="5"/>
  <c r="AE49" i="5" s="1"/>
  <c r="AO49" i="5" s="1"/>
  <c r="T49" i="5"/>
  <c r="S49" i="5"/>
  <c r="AA48" i="5"/>
  <c r="AK48" i="5" s="1"/>
  <c r="AU48" i="5" s="1"/>
  <c r="Z48" i="5"/>
  <c r="AJ48" i="5" s="1"/>
  <c r="AT48" i="5" s="1"/>
  <c r="Y48" i="5"/>
  <c r="AI48" i="5" s="1"/>
  <c r="AS48" i="5" s="1"/>
  <c r="X48" i="5"/>
  <c r="AH48" i="5" s="1"/>
  <c r="AR48" i="5" s="1"/>
  <c r="W48" i="5"/>
  <c r="AG48" i="5" s="1"/>
  <c r="AQ48" i="5" s="1"/>
  <c r="V48" i="5"/>
  <c r="AF48" i="5" s="1"/>
  <c r="AP48" i="5" s="1"/>
  <c r="U48" i="5"/>
  <c r="AE48" i="5" s="1"/>
  <c r="AO48" i="5" s="1"/>
  <c r="T48" i="5"/>
  <c r="AD48" i="5" s="1"/>
  <c r="AN48" i="5" s="1"/>
  <c r="S48" i="5"/>
  <c r="AC48" i="5" s="1"/>
  <c r="AM48" i="5" s="1"/>
  <c r="AA47" i="5"/>
  <c r="AK47" i="5" s="1"/>
  <c r="AU47" i="5" s="1"/>
  <c r="Z47" i="5"/>
  <c r="AJ47" i="5" s="1"/>
  <c r="AT47" i="5" s="1"/>
  <c r="Y47" i="5"/>
  <c r="AI47" i="5" s="1"/>
  <c r="AS47" i="5" s="1"/>
  <c r="X47" i="5"/>
  <c r="AH47" i="5" s="1"/>
  <c r="AR47" i="5" s="1"/>
  <c r="W47" i="5"/>
  <c r="AG47" i="5" s="1"/>
  <c r="AQ47" i="5" s="1"/>
  <c r="V47" i="5"/>
  <c r="AF47" i="5" s="1"/>
  <c r="AP47" i="5" s="1"/>
  <c r="U47" i="5"/>
  <c r="AE47" i="5" s="1"/>
  <c r="AO47" i="5" s="1"/>
  <c r="T47" i="5"/>
  <c r="AD47" i="5" s="1"/>
  <c r="AN47" i="5" s="1"/>
  <c r="S47" i="5"/>
  <c r="AC47" i="5" s="1"/>
  <c r="AM47" i="5" s="1"/>
  <c r="AA46" i="5"/>
  <c r="AK46" i="5" s="1"/>
  <c r="AU46" i="5" s="1"/>
  <c r="Z46" i="5"/>
  <c r="AJ46" i="5" s="1"/>
  <c r="AT46" i="5" s="1"/>
  <c r="Y46" i="5"/>
  <c r="AI46" i="5" s="1"/>
  <c r="AS46" i="5" s="1"/>
  <c r="X46" i="5"/>
  <c r="AH46" i="5" s="1"/>
  <c r="AR46" i="5" s="1"/>
  <c r="W46" i="5"/>
  <c r="AG46" i="5" s="1"/>
  <c r="AQ46" i="5" s="1"/>
  <c r="V46" i="5"/>
  <c r="AF46" i="5" s="1"/>
  <c r="AP46" i="5" s="1"/>
  <c r="U46" i="5"/>
  <c r="AE46" i="5" s="1"/>
  <c r="AO46" i="5" s="1"/>
  <c r="T46" i="5"/>
  <c r="AD46" i="5" s="1"/>
  <c r="AN46" i="5" s="1"/>
  <c r="S46" i="5"/>
  <c r="AC46" i="5" s="1"/>
  <c r="AM46" i="5" s="1"/>
  <c r="AA45" i="5"/>
  <c r="AK45" i="5" s="1"/>
  <c r="AU45" i="5" s="1"/>
  <c r="Z45" i="5"/>
  <c r="AJ45" i="5" s="1"/>
  <c r="AT45" i="5" s="1"/>
  <c r="Y45" i="5"/>
  <c r="AI45" i="5" s="1"/>
  <c r="AS45" i="5" s="1"/>
  <c r="X45" i="5"/>
  <c r="W45" i="5"/>
  <c r="AG45" i="5" s="1"/>
  <c r="AQ45" i="5" s="1"/>
  <c r="V45" i="5"/>
  <c r="AF45" i="5" s="1"/>
  <c r="AP45" i="5" s="1"/>
  <c r="U45" i="5"/>
  <c r="T45" i="5"/>
  <c r="AD45" i="5" s="1"/>
  <c r="AN45" i="5" s="1"/>
  <c r="S45" i="5"/>
  <c r="AC45" i="5" s="1"/>
  <c r="AM45" i="5" s="1"/>
  <c r="AA43" i="5"/>
  <c r="AK43" i="5" s="1"/>
  <c r="AU43" i="5" s="1"/>
  <c r="Z43" i="5"/>
  <c r="AJ43" i="5" s="1"/>
  <c r="AT43" i="5" s="1"/>
  <c r="Y43" i="5"/>
  <c r="AI43" i="5" s="1"/>
  <c r="AS43" i="5" s="1"/>
  <c r="X43" i="5"/>
  <c r="AH43" i="5" s="1"/>
  <c r="AR43" i="5" s="1"/>
  <c r="W43" i="5"/>
  <c r="AG43" i="5" s="1"/>
  <c r="AQ43" i="5" s="1"/>
  <c r="V43" i="5"/>
  <c r="AF43" i="5" s="1"/>
  <c r="AP43" i="5" s="1"/>
  <c r="U43" i="5"/>
  <c r="AE43" i="5" s="1"/>
  <c r="AO43" i="5" s="1"/>
  <c r="T43" i="5"/>
  <c r="AD43" i="5" s="1"/>
  <c r="AN43" i="5" s="1"/>
  <c r="S43" i="5"/>
  <c r="AC43" i="5" s="1"/>
  <c r="AM43" i="5" s="1"/>
  <c r="AF42" i="5"/>
  <c r="AP42" i="5" s="1"/>
  <c r="AA42" i="5"/>
  <c r="AK42" i="5" s="1"/>
  <c r="AU42" i="5" s="1"/>
  <c r="Z42" i="5"/>
  <c r="AJ42" i="5" s="1"/>
  <c r="AT42" i="5" s="1"/>
  <c r="Y42" i="5"/>
  <c r="AI42" i="5" s="1"/>
  <c r="AS42" i="5" s="1"/>
  <c r="X42" i="5"/>
  <c r="AH42" i="5" s="1"/>
  <c r="AR42" i="5" s="1"/>
  <c r="W42" i="5"/>
  <c r="AG42" i="5" s="1"/>
  <c r="AQ42" i="5" s="1"/>
  <c r="V42" i="5"/>
  <c r="U42" i="5"/>
  <c r="AE42" i="5" s="1"/>
  <c r="AO42" i="5" s="1"/>
  <c r="T42" i="5"/>
  <c r="AD42" i="5" s="1"/>
  <c r="AN42" i="5" s="1"/>
  <c r="S42" i="5"/>
  <c r="AC42" i="5" s="1"/>
  <c r="AM42" i="5" s="1"/>
  <c r="AA41" i="5"/>
  <c r="AK41" i="5" s="1"/>
  <c r="AU41" i="5" s="1"/>
  <c r="Z41" i="5"/>
  <c r="AJ41" i="5" s="1"/>
  <c r="AT41" i="5" s="1"/>
  <c r="Y41" i="5"/>
  <c r="AI41" i="5" s="1"/>
  <c r="AS41" i="5" s="1"/>
  <c r="X41" i="5"/>
  <c r="AH41" i="5" s="1"/>
  <c r="AR41" i="5" s="1"/>
  <c r="W41" i="5"/>
  <c r="AG41" i="5" s="1"/>
  <c r="AQ41" i="5" s="1"/>
  <c r="V41" i="5"/>
  <c r="AF41" i="5" s="1"/>
  <c r="AP41" i="5" s="1"/>
  <c r="U41" i="5"/>
  <c r="AE41" i="5" s="1"/>
  <c r="AO41" i="5" s="1"/>
  <c r="T41" i="5"/>
  <c r="AD41" i="5" s="1"/>
  <c r="AN41" i="5" s="1"/>
  <c r="S41" i="5"/>
  <c r="AC41" i="5" s="1"/>
  <c r="AM41" i="5" s="1"/>
  <c r="AK40" i="5"/>
  <c r="AU40" i="5" s="1"/>
  <c r="AJ40" i="5"/>
  <c r="AT40" i="5" s="1"/>
  <c r="AD40" i="5"/>
  <c r="AN40" i="5" s="1"/>
  <c r="AA40" i="5"/>
  <c r="Z40" i="5"/>
  <c r="Y40" i="5"/>
  <c r="AI40" i="5" s="1"/>
  <c r="AS40" i="5" s="1"/>
  <c r="X40" i="5"/>
  <c r="AH40" i="5" s="1"/>
  <c r="AR40" i="5" s="1"/>
  <c r="W40" i="5"/>
  <c r="AG40" i="5" s="1"/>
  <c r="AQ40" i="5" s="1"/>
  <c r="V40" i="5"/>
  <c r="AF40" i="5" s="1"/>
  <c r="AP40" i="5" s="1"/>
  <c r="U40" i="5"/>
  <c r="AE40" i="5" s="1"/>
  <c r="AO40" i="5" s="1"/>
  <c r="T40" i="5"/>
  <c r="S40" i="5"/>
  <c r="AC40" i="5" s="1"/>
  <c r="AM40" i="5" s="1"/>
  <c r="AA39" i="5"/>
  <c r="AK39" i="5" s="1"/>
  <c r="AU39" i="5" s="1"/>
  <c r="Z39" i="5"/>
  <c r="AJ39" i="5" s="1"/>
  <c r="AT39" i="5" s="1"/>
  <c r="Y39" i="5"/>
  <c r="AI39" i="5" s="1"/>
  <c r="AS39" i="5" s="1"/>
  <c r="X39" i="5"/>
  <c r="AH39" i="5" s="1"/>
  <c r="AR39" i="5" s="1"/>
  <c r="W39" i="5"/>
  <c r="AG39" i="5" s="1"/>
  <c r="AQ39" i="5" s="1"/>
  <c r="V39" i="5"/>
  <c r="AF39" i="5" s="1"/>
  <c r="AP39" i="5" s="1"/>
  <c r="U39" i="5"/>
  <c r="AE39" i="5" s="1"/>
  <c r="AO39" i="5" s="1"/>
  <c r="T39" i="5"/>
  <c r="AD39" i="5" s="1"/>
  <c r="AN39" i="5" s="1"/>
  <c r="S39" i="5"/>
  <c r="AC39" i="5" s="1"/>
  <c r="AM39" i="5" s="1"/>
  <c r="AA38" i="5"/>
  <c r="AK38" i="5" s="1"/>
  <c r="AU38" i="5" s="1"/>
  <c r="Z38" i="5"/>
  <c r="AJ38" i="5" s="1"/>
  <c r="AT38" i="5" s="1"/>
  <c r="Y38" i="5"/>
  <c r="AI38" i="5" s="1"/>
  <c r="AS38" i="5" s="1"/>
  <c r="X38" i="5"/>
  <c r="AH38" i="5" s="1"/>
  <c r="AR38" i="5" s="1"/>
  <c r="W38" i="5"/>
  <c r="AG38" i="5" s="1"/>
  <c r="AQ38" i="5" s="1"/>
  <c r="V38" i="5"/>
  <c r="AF38" i="5" s="1"/>
  <c r="AP38" i="5" s="1"/>
  <c r="U38" i="5"/>
  <c r="AE38" i="5" s="1"/>
  <c r="AO38" i="5" s="1"/>
  <c r="T38" i="5"/>
  <c r="AD38" i="5" s="1"/>
  <c r="AN38" i="5" s="1"/>
  <c r="S38" i="5"/>
  <c r="AC38" i="5" s="1"/>
  <c r="AM38" i="5" s="1"/>
  <c r="AA36" i="5"/>
  <c r="AK36" i="5" s="1"/>
  <c r="AU36" i="5" s="1"/>
  <c r="Z36" i="5"/>
  <c r="AJ36" i="5" s="1"/>
  <c r="AT36" i="5" s="1"/>
  <c r="Y36" i="5"/>
  <c r="AI36" i="5" s="1"/>
  <c r="AS36" i="5" s="1"/>
  <c r="X36" i="5"/>
  <c r="AH36" i="5" s="1"/>
  <c r="AR36" i="5" s="1"/>
  <c r="W36" i="5"/>
  <c r="AG36" i="5" s="1"/>
  <c r="AQ36" i="5" s="1"/>
  <c r="V36" i="5"/>
  <c r="AF36" i="5" s="1"/>
  <c r="AP36" i="5" s="1"/>
  <c r="U36" i="5"/>
  <c r="AE36" i="5" s="1"/>
  <c r="AO36" i="5" s="1"/>
  <c r="T36" i="5"/>
  <c r="AD36" i="5" s="1"/>
  <c r="AN36" i="5" s="1"/>
  <c r="S36" i="5"/>
  <c r="AC36" i="5" s="1"/>
  <c r="AM36" i="5" s="1"/>
  <c r="AN35" i="5"/>
  <c r="AA35" i="5"/>
  <c r="AK35" i="5" s="1"/>
  <c r="AU35" i="5" s="1"/>
  <c r="Z35" i="5"/>
  <c r="AJ35" i="5" s="1"/>
  <c r="AT35" i="5" s="1"/>
  <c r="Y35" i="5"/>
  <c r="AI35" i="5" s="1"/>
  <c r="AS35" i="5" s="1"/>
  <c r="X35" i="5"/>
  <c r="AH35" i="5" s="1"/>
  <c r="AR35" i="5" s="1"/>
  <c r="W35" i="5"/>
  <c r="AG35" i="5" s="1"/>
  <c r="AQ35" i="5" s="1"/>
  <c r="V35" i="5"/>
  <c r="AF35" i="5" s="1"/>
  <c r="AP35" i="5" s="1"/>
  <c r="U35" i="5"/>
  <c r="AE35" i="5" s="1"/>
  <c r="AO35" i="5" s="1"/>
  <c r="T35" i="5"/>
  <c r="AD35" i="5" s="1"/>
  <c r="S35" i="5"/>
  <c r="AC35" i="5" s="1"/>
  <c r="AM35" i="5" s="1"/>
  <c r="AA34" i="5"/>
  <c r="AK34" i="5" s="1"/>
  <c r="AU34" i="5" s="1"/>
  <c r="Z34" i="5"/>
  <c r="AJ34" i="5" s="1"/>
  <c r="AT34" i="5" s="1"/>
  <c r="Y34" i="5"/>
  <c r="AI34" i="5" s="1"/>
  <c r="AS34" i="5" s="1"/>
  <c r="X34" i="5"/>
  <c r="AH34" i="5" s="1"/>
  <c r="AR34" i="5" s="1"/>
  <c r="W34" i="5"/>
  <c r="AG34" i="5" s="1"/>
  <c r="AQ34" i="5" s="1"/>
  <c r="V34" i="5"/>
  <c r="AF34" i="5" s="1"/>
  <c r="AP34" i="5" s="1"/>
  <c r="U34" i="5"/>
  <c r="AE34" i="5" s="1"/>
  <c r="AO34" i="5" s="1"/>
  <c r="T34" i="5"/>
  <c r="AD34" i="5" s="1"/>
  <c r="AN34" i="5" s="1"/>
  <c r="S34" i="5"/>
  <c r="AC34" i="5" s="1"/>
  <c r="AM34" i="5" s="1"/>
  <c r="AA33" i="5"/>
  <c r="AK33" i="5" s="1"/>
  <c r="AU33" i="5" s="1"/>
  <c r="Z33" i="5"/>
  <c r="AJ33" i="5" s="1"/>
  <c r="AT33" i="5" s="1"/>
  <c r="Y33" i="5"/>
  <c r="AI33" i="5" s="1"/>
  <c r="AS33" i="5" s="1"/>
  <c r="X33" i="5"/>
  <c r="AH33" i="5" s="1"/>
  <c r="AR33" i="5" s="1"/>
  <c r="W33" i="5"/>
  <c r="AG33" i="5" s="1"/>
  <c r="AQ33" i="5" s="1"/>
  <c r="V33" i="5"/>
  <c r="AF33" i="5" s="1"/>
  <c r="AP33" i="5" s="1"/>
  <c r="U33" i="5"/>
  <c r="AE33" i="5" s="1"/>
  <c r="AO33" i="5" s="1"/>
  <c r="T33" i="5"/>
  <c r="AD33" i="5" s="1"/>
  <c r="AN33" i="5" s="1"/>
  <c r="S33" i="5"/>
  <c r="AC33" i="5" s="1"/>
  <c r="AM33" i="5" s="1"/>
  <c r="AA32" i="5"/>
  <c r="AK32" i="5" s="1"/>
  <c r="AU32" i="5" s="1"/>
  <c r="Z32" i="5"/>
  <c r="AJ32" i="5" s="1"/>
  <c r="AT32" i="5" s="1"/>
  <c r="Y32" i="5"/>
  <c r="AI32" i="5" s="1"/>
  <c r="AS32" i="5" s="1"/>
  <c r="X32" i="5"/>
  <c r="AH32" i="5" s="1"/>
  <c r="AR32" i="5" s="1"/>
  <c r="W32" i="5"/>
  <c r="AG32" i="5" s="1"/>
  <c r="AQ32" i="5" s="1"/>
  <c r="V32" i="5"/>
  <c r="AF32" i="5" s="1"/>
  <c r="AP32" i="5" s="1"/>
  <c r="U32" i="5"/>
  <c r="AE32" i="5" s="1"/>
  <c r="AO32" i="5" s="1"/>
  <c r="T32" i="5"/>
  <c r="AD32" i="5" s="1"/>
  <c r="AN32" i="5" s="1"/>
  <c r="S32" i="5"/>
  <c r="AC32" i="5" s="1"/>
  <c r="AM32" i="5" s="1"/>
  <c r="AA31" i="5"/>
  <c r="AK31" i="5" s="1"/>
  <c r="AU31" i="5" s="1"/>
  <c r="Z31" i="5"/>
  <c r="AJ31" i="5" s="1"/>
  <c r="AT31" i="5" s="1"/>
  <c r="Y31" i="5"/>
  <c r="AI31" i="5" s="1"/>
  <c r="AS31" i="5" s="1"/>
  <c r="X31" i="5"/>
  <c r="AH31" i="5" s="1"/>
  <c r="AR31" i="5" s="1"/>
  <c r="W31" i="5"/>
  <c r="AG31" i="5" s="1"/>
  <c r="AQ31" i="5" s="1"/>
  <c r="V31" i="5"/>
  <c r="AF31" i="5" s="1"/>
  <c r="AP31" i="5" s="1"/>
  <c r="U31" i="5"/>
  <c r="AE31" i="5" s="1"/>
  <c r="AO31" i="5" s="1"/>
  <c r="T31" i="5"/>
  <c r="AD31" i="5" s="1"/>
  <c r="AN31" i="5" s="1"/>
  <c r="S31" i="5"/>
  <c r="AC31" i="5" s="1"/>
  <c r="AM31" i="5" s="1"/>
  <c r="AA30" i="5"/>
  <c r="AK30" i="5" s="1"/>
  <c r="AU30" i="5" s="1"/>
  <c r="Z30" i="5"/>
  <c r="AJ30" i="5" s="1"/>
  <c r="AT30" i="5" s="1"/>
  <c r="Y30" i="5"/>
  <c r="AI30" i="5" s="1"/>
  <c r="AS30" i="5" s="1"/>
  <c r="X30" i="5"/>
  <c r="AH30" i="5" s="1"/>
  <c r="AR30" i="5" s="1"/>
  <c r="W30" i="5"/>
  <c r="AG30" i="5" s="1"/>
  <c r="AQ30" i="5" s="1"/>
  <c r="V30" i="5"/>
  <c r="AF30" i="5" s="1"/>
  <c r="AP30" i="5" s="1"/>
  <c r="U30" i="5"/>
  <c r="AE30" i="5" s="1"/>
  <c r="AO30" i="5" s="1"/>
  <c r="T30" i="5"/>
  <c r="AD30" i="5" s="1"/>
  <c r="AN30" i="5" s="1"/>
  <c r="S30" i="5"/>
  <c r="AC30" i="5" s="1"/>
  <c r="AM30" i="5" s="1"/>
  <c r="AA24" i="5"/>
  <c r="AK24" i="5" s="1"/>
  <c r="AU24" i="5" s="1"/>
  <c r="Z24" i="5"/>
  <c r="AJ24" i="5" s="1"/>
  <c r="AT24" i="5" s="1"/>
  <c r="Y24" i="5"/>
  <c r="AI24" i="5" s="1"/>
  <c r="AS24" i="5" s="1"/>
  <c r="X24" i="5"/>
  <c r="AH24" i="5" s="1"/>
  <c r="AR24" i="5" s="1"/>
  <c r="W24" i="5"/>
  <c r="AG24" i="5" s="1"/>
  <c r="AQ24" i="5" s="1"/>
  <c r="V24" i="5"/>
  <c r="AF24" i="5" s="1"/>
  <c r="AP24" i="5" s="1"/>
  <c r="U24" i="5"/>
  <c r="AE24" i="5" s="1"/>
  <c r="AO24" i="5" s="1"/>
  <c r="T24" i="5"/>
  <c r="AD24" i="5" s="1"/>
  <c r="AN24" i="5" s="1"/>
  <c r="S24" i="5"/>
  <c r="AC24" i="5" s="1"/>
  <c r="AM24" i="5" s="1"/>
  <c r="AA23" i="5"/>
  <c r="AK23" i="5" s="1"/>
  <c r="AU23" i="5" s="1"/>
  <c r="Z23" i="5"/>
  <c r="AJ23" i="5" s="1"/>
  <c r="AT23" i="5" s="1"/>
  <c r="Y23" i="5"/>
  <c r="AI23" i="5" s="1"/>
  <c r="AS23" i="5" s="1"/>
  <c r="X23" i="5"/>
  <c r="AH23" i="5" s="1"/>
  <c r="AR23" i="5" s="1"/>
  <c r="W23" i="5"/>
  <c r="AG23" i="5" s="1"/>
  <c r="AQ23" i="5" s="1"/>
  <c r="V23" i="5"/>
  <c r="AF23" i="5" s="1"/>
  <c r="AP23" i="5" s="1"/>
  <c r="U23" i="5"/>
  <c r="AE23" i="5" s="1"/>
  <c r="AO23" i="5" s="1"/>
  <c r="T23" i="5"/>
  <c r="AD23" i="5" s="1"/>
  <c r="AN23" i="5" s="1"/>
  <c r="S23" i="5"/>
  <c r="AC23" i="5" s="1"/>
  <c r="AM23" i="5" s="1"/>
  <c r="AA22" i="5"/>
  <c r="AK22" i="5" s="1"/>
  <c r="AU22" i="5" s="1"/>
  <c r="Z22" i="5"/>
  <c r="AJ22" i="5" s="1"/>
  <c r="AT22" i="5" s="1"/>
  <c r="Y22" i="5"/>
  <c r="AI22" i="5" s="1"/>
  <c r="AS22" i="5" s="1"/>
  <c r="X22" i="5"/>
  <c r="AH22" i="5" s="1"/>
  <c r="AR22" i="5" s="1"/>
  <c r="W22" i="5"/>
  <c r="AG22" i="5" s="1"/>
  <c r="AQ22" i="5" s="1"/>
  <c r="V22" i="5"/>
  <c r="AF22" i="5" s="1"/>
  <c r="AP22" i="5" s="1"/>
  <c r="U22" i="5"/>
  <c r="AE22" i="5" s="1"/>
  <c r="AO22" i="5" s="1"/>
  <c r="T22" i="5"/>
  <c r="AD22" i="5" s="1"/>
  <c r="AN22" i="5" s="1"/>
  <c r="S22" i="5"/>
  <c r="AC22" i="5" s="1"/>
  <c r="AM22" i="5" s="1"/>
  <c r="AA21" i="5"/>
  <c r="AK21" i="5" s="1"/>
  <c r="AU21" i="5" s="1"/>
  <c r="Z21" i="5"/>
  <c r="AJ21" i="5" s="1"/>
  <c r="AT21" i="5" s="1"/>
  <c r="Y21" i="5"/>
  <c r="AI21" i="5" s="1"/>
  <c r="AS21" i="5" s="1"/>
  <c r="X21" i="5"/>
  <c r="AH21" i="5" s="1"/>
  <c r="AR21" i="5" s="1"/>
  <c r="W21" i="5"/>
  <c r="AG21" i="5" s="1"/>
  <c r="AQ21" i="5" s="1"/>
  <c r="V21" i="5"/>
  <c r="AF21" i="5" s="1"/>
  <c r="AP21" i="5" s="1"/>
  <c r="U21" i="5"/>
  <c r="AE21" i="5" s="1"/>
  <c r="AO21" i="5" s="1"/>
  <c r="T21" i="5"/>
  <c r="AD21" i="5" s="1"/>
  <c r="AN21" i="5" s="1"/>
  <c r="S21" i="5"/>
  <c r="AC21" i="5" s="1"/>
  <c r="AM21" i="5" s="1"/>
  <c r="AA20" i="5"/>
  <c r="AK20" i="5" s="1"/>
  <c r="AU20" i="5" s="1"/>
  <c r="Z20" i="5"/>
  <c r="AJ20" i="5" s="1"/>
  <c r="AT20" i="5" s="1"/>
  <c r="Y20" i="5"/>
  <c r="AI20" i="5" s="1"/>
  <c r="AS20" i="5" s="1"/>
  <c r="X20" i="5"/>
  <c r="AH20" i="5" s="1"/>
  <c r="AR20" i="5" s="1"/>
  <c r="W20" i="5"/>
  <c r="V20" i="5"/>
  <c r="AF20" i="5" s="1"/>
  <c r="AP20" i="5" s="1"/>
  <c r="U20" i="5"/>
  <c r="AE20" i="5" s="1"/>
  <c r="AO20" i="5" s="1"/>
  <c r="T20" i="5"/>
  <c r="AD20" i="5" s="1"/>
  <c r="AN20" i="5" s="1"/>
  <c r="S20" i="5"/>
  <c r="AC20" i="5" s="1"/>
  <c r="AM20" i="5" s="1"/>
  <c r="AA19" i="5"/>
  <c r="AK19" i="5" s="1"/>
  <c r="AU19" i="5" s="1"/>
  <c r="Z19" i="5"/>
  <c r="Y19" i="5"/>
  <c r="AI19" i="5" s="1"/>
  <c r="AS19" i="5" s="1"/>
  <c r="X19" i="5"/>
  <c r="AH19" i="5" s="1"/>
  <c r="AR19" i="5" s="1"/>
  <c r="W19" i="5"/>
  <c r="AG19" i="5" s="1"/>
  <c r="AQ19" i="5" s="1"/>
  <c r="V19" i="5"/>
  <c r="AF19" i="5" s="1"/>
  <c r="AP19" i="5" s="1"/>
  <c r="U19" i="5"/>
  <c r="AE19" i="5" s="1"/>
  <c r="AO19" i="5" s="1"/>
  <c r="T19" i="5"/>
  <c r="AD19" i="5" s="1"/>
  <c r="AN19" i="5" s="1"/>
  <c r="S19" i="5"/>
  <c r="AC19" i="5" s="1"/>
  <c r="AM19" i="5" s="1"/>
  <c r="AA17" i="5"/>
  <c r="AK17" i="5" s="1"/>
  <c r="AU17" i="5" s="1"/>
  <c r="Z17" i="5"/>
  <c r="AJ17" i="5" s="1"/>
  <c r="AT17" i="5" s="1"/>
  <c r="Y17" i="5"/>
  <c r="AI17" i="5" s="1"/>
  <c r="AS17" i="5" s="1"/>
  <c r="X17" i="5"/>
  <c r="AH17" i="5" s="1"/>
  <c r="AR17" i="5" s="1"/>
  <c r="W17" i="5"/>
  <c r="AG17" i="5" s="1"/>
  <c r="AQ17" i="5" s="1"/>
  <c r="V17" i="5"/>
  <c r="AF17" i="5" s="1"/>
  <c r="AP17" i="5" s="1"/>
  <c r="U17" i="5"/>
  <c r="AE17" i="5" s="1"/>
  <c r="AO17" i="5" s="1"/>
  <c r="T17" i="5"/>
  <c r="AD17" i="5" s="1"/>
  <c r="AN17" i="5" s="1"/>
  <c r="S17" i="5"/>
  <c r="AC17" i="5" s="1"/>
  <c r="AM17" i="5" s="1"/>
  <c r="AA16" i="5"/>
  <c r="AK16" i="5" s="1"/>
  <c r="AU16" i="5" s="1"/>
  <c r="Z16" i="5"/>
  <c r="AJ16" i="5" s="1"/>
  <c r="AT16" i="5" s="1"/>
  <c r="Y16" i="5"/>
  <c r="AI16" i="5" s="1"/>
  <c r="AS16" i="5" s="1"/>
  <c r="X16" i="5"/>
  <c r="AH16" i="5" s="1"/>
  <c r="AR16" i="5" s="1"/>
  <c r="W16" i="5"/>
  <c r="AG16" i="5" s="1"/>
  <c r="AQ16" i="5" s="1"/>
  <c r="V16" i="5"/>
  <c r="AF16" i="5" s="1"/>
  <c r="AP16" i="5" s="1"/>
  <c r="U16" i="5"/>
  <c r="AE16" i="5" s="1"/>
  <c r="AO16" i="5" s="1"/>
  <c r="T16" i="5"/>
  <c r="AD16" i="5" s="1"/>
  <c r="AN16" i="5" s="1"/>
  <c r="S16" i="5"/>
  <c r="AC16" i="5" s="1"/>
  <c r="AM16" i="5" s="1"/>
  <c r="AA15" i="5"/>
  <c r="AK15" i="5" s="1"/>
  <c r="AU15" i="5" s="1"/>
  <c r="Z15" i="5"/>
  <c r="AJ15" i="5" s="1"/>
  <c r="AT15" i="5" s="1"/>
  <c r="Y15" i="5"/>
  <c r="AI15" i="5" s="1"/>
  <c r="AS15" i="5" s="1"/>
  <c r="X15" i="5"/>
  <c r="AH15" i="5" s="1"/>
  <c r="AR15" i="5" s="1"/>
  <c r="W15" i="5"/>
  <c r="AG15" i="5" s="1"/>
  <c r="AQ15" i="5" s="1"/>
  <c r="V15" i="5"/>
  <c r="AF15" i="5" s="1"/>
  <c r="AP15" i="5" s="1"/>
  <c r="U15" i="5"/>
  <c r="AE15" i="5" s="1"/>
  <c r="AO15" i="5" s="1"/>
  <c r="T15" i="5"/>
  <c r="AD15" i="5" s="1"/>
  <c r="AN15" i="5" s="1"/>
  <c r="S15" i="5"/>
  <c r="AC15" i="5" s="1"/>
  <c r="AM15" i="5" s="1"/>
  <c r="AA14" i="5"/>
  <c r="AK14" i="5" s="1"/>
  <c r="AU14" i="5" s="1"/>
  <c r="Z14" i="5"/>
  <c r="AJ14" i="5" s="1"/>
  <c r="AT14" i="5" s="1"/>
  <c r="Y14" i="5"/>
  <c r="AI14" i="5" s="1"/>
  <c r="AS14" i="5" s="1"/>
  <c r="X14" i="5"/>
  <c r="AH14" i="5" s="1"/>
  <c r="AR14" i="5" s="1"/>
  <c r="W14" i="5"/>
  <c r="AG14" i="5" s="1"/>
  <c r="AQ14" i="5" s="1"/>
  <c r="V14" i="5"/>
  <c r="AF14" i="5" s="1"/>
  <c r="AP14" i="5" s="1"/>
  <c r="U14" i="5"/>
  <c r="AE14" i="5" s="1"/>
  <c r="AO14" i="5" s="1"/>
  <c r="T14" i="5"/>
  <c r="AD14" i="5" s="1"/>
  <c r="AN14" i="5" s="1"/>
  <c r="S14" i="5"/>
  <c r="AC14" i="5" s="1"/>
  <c r="AM14" i="5" s="1"/>
  <c r="AA13" i="5"/>
  <c r="AK13" i="5" s="1"/>
  <c r="AU13" i="5" s="1"/>
  <c r="Z13" i="5"/>
  <c r="AJ13" i="5" s="1"/>
  <c r="AT13" i="5" s="1"/>
  <c r="Y13" i="5"/>
  <c r="AI13" i="5" s="1"/>
  <c r="AS13" i="5" s="1"/>
  <c r="X13" i="5"/>
  <c r="AH13" i="5" s="1"/>
  <c r="AR13" i="5" s="1"/>
  <c r="W13" i="5"/>
  <c r="AG13" i="5" s="1"/>
  <c r="AQ13" i="5" s="1"/>
  <c r="V13" i="5"/>
  <c r="AF13" i="5" s="1"/>
  <c r="AP13" i="5" s="1"/>
  <c r="U13" i="5"/>
  <c r="AE13" i="5" s="1"/>
  <c r="AO13" i="5" s="1"/>
  <c r="T13" i="5"/>
  <c r="AD13" i="5" s="1"/>
  <c r="AN13" i="5" s="1"/>
  <c r="S13" i="5"/>
  <c r="AC13" i="5" s="1"/>
  <c r="AM13" i="5" s="1"/>
  <c r="AA12" i="5"/>
  <c r="AK12" i="5" s="1"/>
  <c r="AU12" i="5" s="1"/>
  <c r="Z12" i="5"/>
  <c r="AJ12" i="5" s="1"/>
  <c r="AT12" i="5" s="1"/>
  <c r="Y12" i="5"/>
  <c r="AI12" i="5" s="1"/>
  <c r="AS12" i="5" s="1"/>
  <c r="X12" i="5"/>
  <c r="AH12" i="5" s="1"/>
  <c r="AR12" i="5" s="1"/>
  <c r="W12" i="5"/>
  <c r="AG12" i="5" s="1"/>
  <c r="AQ12" i="5" s="1"/>
  <c r="V12" i="5"/>
  <c r="AF12" i="5" s="1"/>
  <c r="AP12" i="5" s="1"/>
  <c r="U12" i="5"/>
  <c r="AE12" i="5" s="1"/>
  <c r="AO12" i="5" s="1"/>
  <c r="T12" i="5"/>
  <c r="AD12" i="5" s="1"/>
  <c r="AN12" i="5" s="1"/>
  <c r="S12" i="5"/>
  <c r="AC12" i="5" s="1"/>
  <c r="AM12" i="5" s="1"/>
  <c r="AA10" i="5"/>
  <c r="AK10" i="5" s="1"/>
  <c r="AU10" i="5" s="1"/>
  <c r="Z10" i="5"/>
  <c r="AJ10" i="5" s="1"/>
  <c r="AT10" i="5" s="1"/>
  <c r="Y10" i="5"/>
  <c r="AI10" i="5" s="1"/>
  <c r="AS10" i="5" s="1"/>
  <c r="X10" i="5"/>
  <c r="AH10" i="5" s="1"/>
  <c r="AR10" i="5" s="1"/>
  <c r="W10" i="5"/>
  <c r="AG10" i="5" s="1"/>
  <c r="AQ10" i="5" s="1"/>
  <c r="V10" i="5"/>
  <c r="AF10" i="5" s="1"/>
  <c r="AP10" i="5" s="1"/>
  <c r="U10" i="5"/>
  <c r="AE10" i="5" s="1"/>
  <c r="AO10" i="5" s="1"/>
  <c r="T10" i="5"/>
  <c r="AD10" i="5" s="1"/>
  <c r="AN10" i="5" s="1"/>
  <c r="S10" i="5"/>
  <c r="AC10" i="5" s="1"/>
  <c r="AM10" i="5" s="1"/>
  <c r="AA9" i="5"/>
  <c r="AK9" i="5" s="1"/>
  <c r="AU9" i="5" s="1"/>
  <c r="Z9" i="5"/>
  <c r="AJ9" i="5" s="1"/>
  <c r="AT9" i="5" s="1"/>
  <c r="Y9" i="5"/>
  <c r="AI9" i="5" s="1"/>
  <c r="AS9" i="5" s="1"/>
  <c r="X9" i="5"/>
  <c r="AH9" i="5" s="1"/>
  <c r="AR9" i="5" s="1"/>
  <c r="W9" i="5"/>
  <c r="AG9" i="5" s="1"/>
  <c r="AQ9" i="5" s="1"/>
  <c r="V9" i="5"/>
  <c r="AF9" i="5" s="1"/>
  <c r="AP9" i="5" s="1"/>
  <c r="U9" i="5"/>
  <c r="AE9" i="5" s="1"/>
  <c r="AO9" i="5" s="1"/>
  <c r="T9" i="5"/>
  <c r="AD9" i="5" s="1"/>
  <c r="AN9" i="5" s="1"/>
  <c r="S9" i="5"/>
  <c r="AC9" i="5" s="1"/>
  <c r="AM9" i="5" s="1"/>
  <c r="AA8" i="5"/>
  <c r="AK8" i="5" s="1"/>
  <c r="AU8" i="5" s="1"/>
  <c r="Z8" i="5"/>
  <c r="AJ8" i="5" s="1"/>
  <c r="AT8" i="5" s="1"/>
  <c r="Y8" i="5"/>
  <c r="AI8" i="5" s="1"/>
  <c r="AS8" i="5" s="1"/>
  <c r="X8" i="5"/>
  <c r="AH8" i="5" s="1"/>
  <c r="AR8" i="5" s="1"/>
  <c r="W8" i="5"/>
  <c r="AG8" i="5" s="1"/>
  <c r="AQ8" i="5" s="1"/>
  <c r="V8" i="5"/>
  <c r="AF8" i="5" s="1"/>
  <c r="AP8" i="5" s="1"/>
  <c r="U8" i="5"/>
  <c r="AE8" i="5" s="1"/>
  <c r="AO8" i="5" s="1"/>
  <c r="T8" i="5"/>
  <c r="AD8" i="5" s="1"/>
  <c r="AN8" i="5" s="1"/>
  <c r="S8" i="5"/>
  <c r="AC8" i="5" s="1"/>
  <c r="AM8" i="5" s="1"/>
  <c r="AA7" i="5"/>
  <c r="AK7" i="5" s="1"/>
  <c r="AU7" i="5" s="1"/>
  <c r="Z7" i="5"/>
  <c r="AJ7" i="5" s="1"/>
  <c r="AT7" i="5" s="1"/>
  <c r="Y7" i="5"/>
  <c r="AI7" i="5" s="1"/>
  <c r="AS7" i="5" s="1"/>
  <c r="X7" i="5"/>
  <c r="AH7" i="5" s="1"/>
  <c r="AR7" i="5" s="1"/>
  <c r="W7" i="5"/>
  <c r="AG7" i="5" s="1"/>
  <c r="AQ7" i="5" s="1"/>
  <c r="V7" i="5"/>
  <c r="AF7" i="5" s="1"/>
  <c r="AP7" i="5" s="1"/>
  <c r="U7" i="5"/>
  <c r="AE7" i="5" s="1"/>
  <c r="AO7" i="5" s="1"/>
  <c r="T7" i="5"/>
  <c r="AD7" i="5" s="1"/>
  <c r="AN7" i="5" s="1"/>
  <c r="S7" i="5"/>
  <c r="AC7" i="5" s="1"/>
  <c r="AM7" i="5" s="1"/>
  <c r="AA6" i="5"/>
  <c r="AK6" i="5" s="1"/>
  <c r="AU6" i="5" s="1"/>
  <c r="Z6" i="5"/>
  <c r="AJ6" i="5" s="1"/>
  <c r="AT6" i="5" s="1"/>
  <c r="Y6" i="5"/>
  <c r="AI6" i="5" s="1"/>
  <c r="AS6" i="5" s="1"/>
  <c r="X6" i="5"/>
  <c r="AH6" i="5" s="1"/>
  <c r="AR6" i="5" s="1"/>
  <c r="W6" i="5"/>
  <c r="AG6" i="5" s="1"/>
  <c r="AQ6" i="5" s="1"/>
  <c r="V6" i="5"/>
  <c r="AF6" i="5" s="1"/>
  <c r="AP6" i="5" s="1"/>
  <c r="U6" i="5"/>
  <c r="AE6" i="5" s="1"/>
  <c r="AO6" i="5" s="1"/>
  <c r="T6" i="5"/>
  <c r="AD6" i="5" s="1"/>
  <c r="AN6" i="5" s="1"/>
  <c r="S6" i="5"/>
  <c r="AC6" i="5" s="1"/>
  <c r="AM6" i="5" s="1"/>
  <c r="G192" i="4"/>
  <c r="F192" i="4"/>
  <c r="E192" i="4"/>
  <c r="D192" i="4"/>
  <c r="C192" i="4"/>
  <c r="D53" i="4"/>
  <c r="D163" i="4"/>
  <c r="C163" i="4"/>
  <c r="B163" i="4"/>
  <c r="D153" i="4"/>
  <c r="C153" i="4"/>
  <c r="B153" i="4"/>
  <c r="D143" i="4"/>
  <c r="C143" i="4"/>
  <c r="B143" i="4"/>
  <c r="D129" i="4"/>
  <c r="C129" i="4"/>
  <c r="B129" i="4"/>
  <c r="B112" i="4"/>
  <c r="C112" i="4"/>
  <c r="D112" i="4"/>
  <c r="D98" i="4"/>
  <c r="C98" i="4"/>
  <c r="B98" i="4"/>
  <c r="B84" i="4"/>
  <c r="D84" i="4"/>
  <c r="C84" i="4"/>
  <c r="D70" i="4"/>
  <c r="C70" i="4"/>
  <c r="B70" i="4"/>
  <c r="D35" i="4"/>
  <c r="D43" i="4"/>
  <c r="C43" i="4"/>
  <c r="B53" i="4"/>
  <c r="C53" i="4"/>
  <c r="C35" i="4"/>
  <c r="B35" i="4"/>
  <c r="D18" i="4"/>
  <c r="C18" i="4"/>
  <c r="B18" i="4"/>
  <c r="F178" i="2"/>
  <c r="E178" i="2"/>
  <c r="D178" i="2"/>
  <c r="C178" i="2"/>
  <c r="B178" i="2"/>
  <c r="H169" i="2"/>
  <c r="H168" i="2"/>
  <c r="H167" i="2"/>
  <c r="H166" i="2"/>
  <c r="H165" i="2"/>
  <c r="H161" i="2"/>
  <c r="H160" i="2"/>
  <c r="H159" i="2"/>
  <c r="H158" i="2"/>
  <c r="H157" i="2"/>
  <c r="H153" i="2"/>
  <c r="H152" i="2"/>
  <c r="H151" i="2"/>
  <c r="H150" i="2"/>
  <c r="H149" i="2"/>
  <c r="H145" i="2"/>
  <c r="H144" i="2"/>
  <c r="H143" i="2"/>
  <c r="H142" i="2"/>
  <c r="H141" i="2"/>
  <c r="H137" i="2"/>
  <c r="H136" i="2"/>
  <c r="H135" i="2"/>
  <c r="H134" i="2"/>
  <c r="H133" i="2"/>
  <c r="H127" i="2"/>
  <c r="H126" i="2"/>
  <c r="H125" i="2"/>
  <c r="H124" i="2"/>
  <c r="H123" i="2"/>
  <c r="H120" i="2"/>
  <c r="H119" i="2"/>
  <c r="H118" i="2"/>
  <c r="H117" i="2"/>
  <c r="H116" i="2"/>
  <c r="H106" i="2"/>
  <c r="H105" i="2"/>
  <c r="H104" i="2"/>
  <c r="H103" i="2"/>
  <c r="H102" i="2"/>
  <c r="H113" i="2"/>
  <c r="H112" i="2"/>
  <c r="H111" i="2"/>
  <c r="H110" i="2"/>
  <c r="H109" i="2"/>
  <c r="H95" i="2"/>
  <c r="H96" i="2"/>
  <c r="H97" i="2"/>
  <c r="H98" i="2"/>
  <c r="H99" i="2"/>
  <c r="F88" i="2"/>
  <c r="E88" i="2"/>
  <c r="D88" i="2"/>
  <c r="C88" i="2"/>
  <c r="B88" i="2"/>
  <c r="F76" i="2"/>
  <c r="E76" i="2"/>
  <c r="D76" i="2"/>
  <c r="C76" i="2"/>
  <c r="B76" i="2"/>
  <c r="F64" i="2"/>
  <c r="E64" i="2"/>
  <c r="D64" i="2"/>
  <c r="C64" i="2"/>
  <c r="B64" i="2"/>
  <c r="F135" i="1"/>
  <c r="E135" i="1"/>
  <c r="D135" i="1"/>
  <c r="C135" i="1"/>
  <c r="B135" i="1"/>
  <c r="F119" i="1"/>
  <c r="E119" i="1"/>
  <c r="D119" i="1"/>
  <c r="C119" i="1"/>
  <c r="B119" i="1"/>
  <c r="F105" i="1"/>
  <c r="E105" i="1"/>
  <c r="D105" i="1"/>
  <c r="C105" i="1"/>
  <c r="F90" i="1"/>
  <c r="E90" i="1"/>
  <c r="D90" i="1"/>
  <c r="C90" i="1"/>
  <c r="B90" i="1"/>
  <c r="F75" i="1"/>
  <c r="E75" i="1"/>
  <c r="D75" i="1"/>
  <c r="C75" i="1"/>
  <c r="B75" i="1"/>
  <c r="F60" i="1"/>
  <c r="E60" i="1"/>
  <c r="D60" i="1"/>
  <c r="C60" i="1"/>
  <c r="B60" i="1"/>
  <c r="F45" i="1"/>
  <c r="E45" i="1"/>
  <c r="D45" i="1"/>
  <c r="C45" i="1"/>
  <c r="B45" i="1"/>
  <c r="F30" i="1"/>
  <c r="E30" i="1"/>
  <c r="D30" i="1"/>
  <c r="C30" i="1"/>
  <c r="B30" i="1"/>
  <c r="F14" i="1"/>
  <c r="E14" i="1"/>
  <c r="D14" i="1"/>
  <c r="C14" i="1"/>
  <c r="B14" i="1"/>
  <c r="U51" i="5" l="1"/>
  <c r="AE51" i="5" s="1"/>
  <c r="AO51" i="5" s="1"/>
  <c r="W25" i="5"/>
  <c r="AG25" i="5" s="1"/>
  <c r="AQ25" i="5" s="1"/>
  <c r="X25" i="5"/>
  <c r="AH25" i="5" s="1"/>
  <c r="AR25" i="5" s="1"/>
  <c r="Y25" i="5"/>
  <c r="AI25" i="5" s="1"/>
  <c r="AS25" i="5" s="1"/>
  <c r="X51" i="5"/>
  <c r="AH51" i="5" s="1"/>
  <c r="AR51" i="5" s="1"/>
  <c r="V25" i="5"/>
  <c r="AF25" i="5" s="1"/>
  <c r="AP25" i="5" s="1"/>
  <c r="AE45" i="5"/>
  <c r="AO45" i="5" s="1"/>
  <c r="AA25" i="5"/>
  <c r="AK25" i="5" s="1"/>
  <c r="AU25" i="5" s="1"/>
  <c r="Z51" i="5"/>
  <c r="AJ51" i="5" s="1"/>
  <c r="AT51" i="5" s="1"/>
  <c r="Z25" i="5"/>
  <c r="AJ25" i="5" s="1"/>
  <c r="AT25" i="5" s="1"/>
  <c r="U25" i="5"/>
  <c r="AE25" i="5" s="1"/>
  <c r="AO25" i="5" s="1"/>
  <c r="Y51" i="5"/>
  <c r="AI51" i="5" s="1"/>
  <c r="AS51" i="5" s="1"/>
  <c r="AA51" i="5"/>
  <c r="AK51" i="5" s="1"/>
  <c r="AU51" i="5" s="1"/>
  <c r="AG20" i="5"/>
  <c r="AQ20" i="5" s="1"/>
  <c r="AJ19" i="5"/>
  <c r="AT19" i="5" s="1"/>
  <c r="S25" i="5"/>
  <c r="AC25" i="5" s="1"/>
  <c r="AM25" i="5" s="1"/>
  <c r="T51" i="5"/>
  <c r="AD51" i="5" s="1"/>
  <c r="AN51" i="5" s="1"/>
  <c r="T25" i="5"/>
  <c r="AD25" i="5" s="1"/>
  <c r="AN25" i="5" s="1"/>
  <c r="V51" i="5"/>
  <c r="AF51" i="5" s="1"/>
  <c r="AP51" i="5" s="1"/>
  <c r="W51" i="5"/>
  <c r="AG51" i="5" s="1"/>
  <c r="AQ51" i="5" s="1"/>
  <c r="AH45" i="5"/>
  <c r="AR45" i="5" s="1"/>
  <c r="S51" i="5"/>
  <c r="AC51" i="5" s="1"/>
  <c r="AM51" i="5" s="1"/>
</calcChain>
</file>

<file path=xl/sharedStrings.xml><?xml version="1.0" encoding="utf-8"?>
<sst xmlns="http://schemas.openxmlformats.org/spreadsheetml/2006/main" count="590" uniqueCount="194">
  <si>
    <t>hNLRP3 </t>
  </si>
  <si>
    <t>hL307P </t>
  </si>
  <si>
    <t>hD305N </t>
  </si>
  <si>
    <t>hF311S </t>
  </si>
  <si>
    <t>hY572C </t>
  </si>
  <si>
    <t>hNLRP3</t>
  </si>
  <si>
    <t>hL307P</t>
  </si>
  <si>
    <t>hD305N</t>
  </si>
  <si>
    <t xml:space="preserve">body weight (Figure 1A) </t>
  </si>
  <si>
    <t xml:space="preserve">                </t>
  </si>
  <si>
    <t>Liver weight (Figure 1C)</t>
  </si>
  <si>
    <t xml:space="preserve">Serum IL-1Ra (Figure 1D) </t>
  </si>
  <si>
    <t xml:space="preserve">SAP (Figure IE) </t>
  </si>
  <si>
    <t xml:space="preserve">IL-18 (Figure 1G) </t>
  </si>
  <si>
    <t xml:space="preserve">IL-6 (Figure 1I) </t>
  </si>
  <si>
    <t xml:space="preserve">mean </t>
  </si>
  <si>
    <t xml:space="preserve">spleen weight (Figure 1B) </t>
  </si>
  <si>
    <t xml:space="preserve">core temp. (Figure 2A) </t>
  </si>
  <si>
    <t>3 hr</t>
  </si>
  <si>
    <t>5 hr</t>
  </si>
  <si>
    <t>6 hr</t>
  </si>
  <si>
    <t xml:space="preserve">mouse </t>
  </si>
  <si>
    <t xml:space="preserve">0 hr </t>
  </si>
  <si>
    <t xml:space="preserve">1 hr </t>
  </si>
  <si>
    <t xml:space="preserve">2 hr </t>
  </si>
  <si>
    <t>4 hr</t>
  </si>
  <si>
    <t>probability of survival</t>
  </si>
  <si>
    <t xml:space="preserve"> Figure 2B </t>
  </si>
  <si>
    <t xml:space="preserve">ng/mL </t>
  </si>
  <si>
    <t>pg/mL</t>
  </si>
  <si>
    <t xml:space="preserve">PLF - CXCL1 Figure 2E </t>
  </si>
  <si>
    <t xml:space="preserve"> 32 degrees </t>
  </si>
  <si>
    <t xml:space="preserve">37 degrees </t>
  </si>
  <si>
    <t xml:space="preserve">LDH Figure 2H </t>
  </si>
  <si>
    <t xml:space="preserve">mU/mL </t>
  </si>
  <si>
    <t xml:space="preserve">Values for Snouwaert et al  Figure 4 </t>
  </si>
  <si>
    <t>Figure 4A</t>
  </si>
  <si>
    <t xml:space="preserve">spleen wt </t>
  </si>
  <si>
    <t xml:space="preserve">mice are homozygous for the indicated genotype </t>
  </si>
  <si>
    <t>Figure 4B</t>
  </si>
  <si>
    <t xml:space="preserve">IL-1b </t>
  </si>
  <si>
    <t>mg</t>
  </si>
  <si>
    <t xml:space="preserve">pg/mg </t>
  </si>
  <si>
    <t>Serum IL-1Ra</t>
  </si>
  <si>
    <t xml:space="preserve">pg/mL </t>
  </si>
  <si>
    <t>Figure 4C</t>
  </si>
  <si>
    <t xml:space="preserve">Figure 4D </t>
  </si>
  <si>
    <t xml:space="preserve">Serum SAP </t>
  </si>
  <si>
    <t>Figure 4E</t>
  </si>
  <si>
    <t xml:space="preserve">Spleen </t>
  </si>
  <si>
    <t xml:space="preserve">mg </t>
  </si>
  <si>
    <t>Figure 4F</t>
  </si>
  <si>
    <t xml:space="preserve">IL-18 </t>
  </si>
  <si>
    <t>Figure 4G</t>
  </si>
  <si>
    <t xml:space="preserve">Figure 4H </t>
  </si>
  <si>
    <t xml:space="preserve">IL-6 </t>
  </si>
  <si>
    <t xml:space="preserve">body weight </t>
  </si>
  <si>
    <t>Figure 4I</t>
  </si>
  <si>
    <t xml:space="preserve">Figure 4J </t>
  </si>
  <si>
    <t xml:space="preserve">Figure 4K </t>
  </si>
  <si>
    <t>Figure 4L</t>
  </si>
  <si>
    <t>mean (ug/mL)</t>
  </si>
  <si>
    <t>mean (mg/mL)</t>
  </si>
  <si>
    <t>mean (pg/mL)</t>
  </si>
  <si>
    <t xml:space="preserve">mean (pg/mg) </t>
  </si>
  <si>
    <t>mean (mg)</t>
  </si>
  <si>
    <t>mean (pg/mg)</t>
  </si>
  <si>
    <t>pg/mg</t>
  </si>
  <si>
    <t>grams</t>
  </si>
  <si>
    <t>mean (g)</t>
  </si>
  <si>
    <t xml:space="preserve">mean (mg) </t>
  </si>
  <si>
    <t xml:space="preserve">Figure 4M </t>
  </si>
  <si>
    <t>mean  (RUL)</t>
  </si>
  <si>
    <t xml:space="preserve">Vehicle </t>
  </si>
  <si>
    <t xml:space="preserve">hNLRP3 </t>
  </si>
  <si>
    <t xml:space="preserve">D305N </t>
  </si>
  <si>
    <t xml:space="preserve">F311S </t>
  </si>
  <si>
    <t xml:space="preserve">Y572C </t>
  </si>
  <si>
    <t>Casp-/-</t>
  </si>
  <si>
    <t xml:space="preserve">LPS </t>
  </si>
  <si>
    <t xml:space="preserve">LPS/ATP </t>
  </si>
  <si>
    <t xml:space="preserve">Figure 4N </t>
  </si>
  <si>
    <t>Casp-/-
LPS</t>
  </si>
  <si>
    <t xml:space="preserve">F311S
LPS </t>
  </si>
  <si>
    <t xml:space="preserve">Y572C
LPS  </t>
  </si>
  <si>
    <t>NLRP3
-LPS</t>
  </si>
  <si>
    <t>D305N
 LPS</t>
  </si>
  <si>
    <t>NLRP3
 -LPS-ATP</t>
  </si>
  <si>
    <t>mean (ng/mL)</t>
  </si>
  <si>
    <t>Figure 3A</t>
  </si>
  <si>
    <t xml:space="preserve">NLRP3 </t>
  </si>
  <si>
    <t xml:space="preserve">Figure 3B </t>
  </si>
  <si>
    <t>32°C </t>
  </si>
  <si>
    <t>37°C </t>
  </si>
  <si>
    <t>L307P</t>
  </si>
  <si>
    <t>37°C (ATP)</t>
  </si>
  <si>
    <t>37°C</t>
  </si>
  <si>
    <t xml:space="preserve">Figure 3C </t>
  </si>
  <si>
    <t>D305N</t>
  </si>
  <si>
    <t xml:space="preserve">F311C </t>
  </si>
  <si>
    <t xml:space="preserve">Y572C  </t>
  </si>
  <si>
    <t xml:space="preserve">Figure 3D </t>
  </si>
  <si>
    <t xml:space="preserve">Figure 3E </t>
  </si>
  <si>
    <t xml:space="preserve">Supplimental Figure 1 </t>
  </si>
  <si>
    <t xml:space="preserve">Supplimental Figure 2 </t>
  </si>
  <si>
    <t>ES Macrophages</t>
  </si>
  <si>
    <t>nNLRP5</t>
  </si>
  <si>
    <t xml:space="preserve">TNF </t>
  </si>
  <si>
    <t>mouse #</t>
  </si>
  <si>
    <t>mouse id</t>
  </si>
  <si>
    <t>geno</t>
  </si>
  <si>
    <t>gene</t>
  </si>
  <si>
    <t>WBC(K/uL)</t>
  </si>
  <si>
    <t>NEUT#(K/uL)</t>
  </si>
  <si>
    <t>LYMPH#(K/uL)</t>
  </si>
  <si>
    <t>MONO#(K/uL)</t>
  </si>
  <si>
    <t>EO#(K/uL)</t>
  </si>
  <si>
    <t>BASO#(K/uL)</t>
  </si>
  <si>
    <t>hu*/hu*</t>
  </si>
  <si>
    <t>F311S</t>
  </si>
  <si>
    <t>hu/hu</t>
  </si>
  <si>
    <t>NLRP3</t>
  </si>
  <si>
    <t>Y572C</t>
  </si>
  <si>
    <t xml:space="preserve">Animal Clinical Laboratory Services </t>
  </si>
  <si>
    <t xml:space="preserve">Figure 3F </t>
  </si>
  <si>
    <t xml:space="preserve">Values for  Figure 3 </t>
  </si>
  <si>
    <t xml:space="preserve">Values for Figure 1 </t>
  </si>
  <si>
    <t>Figure 5C</t>
  </si>
  <si>
    <t xml:space="preserve">total immune cells </t>
  </si>
  <si>
    <t>hF311S</t>
  </si>
  <si>
    <t>hY572C</t>
  </si>
  <si>
    <t xml:space="preserve">FAM qPCR </t>
  </si>
  <si>
    <t>CT</t>
  </si>
  <si>
    <t>delta ct</t>
  </si>
  <si>
    <t>delta delta ct</t>
  </si>
  <si>
    <t>relative to NLRP3</t>
  </si>
  <si>
    <t>cDNA #</t>
  </si>
  <si>
    <t>Gfap</t>
  </si>
  <si>
    <t>Tnf-a</t>
  </si>
  <si>
    <t>Chil3</t>
  </si>
  <si>
    <t>IL-1rn</t>
  </si>
  <si>
    <t>IL-1b</t>
  </si>
  <si>
    <t>IL-6</t>
  </si>
  <si>
    <t>Mpo</t>
  </si>
  <si>
    <t>Saa1</t>
  </si>
  <si>
    <t>18S</t>
  </si>
  <si>
    <t>avg</t>
  </si>
  <si>
    <t>Figure 5B</t>
  </si>
  <si>
    <t xml:space="preserve">Figure 5A </t>
  </si>
  <si>
    <t>Supplemental Figure 2A</t>
  </si>
  <si>
    <t>Pooled blood from NLRP3  mice</t>
  </si>
  <si>
    <t>CP456773 (M)</t>
  </si>
  <si>
    <t>1 ug/mL LPS (IL-1b pg/mL)</t>
  </si>
  <si>
    <t>Pooled blood from D305N +/hu*  mice</t>
  </si>
  <si>
    <t>1 ug/mL LPS (IL-1b pg/mL)
ATP (30mM)</t>
  </si>
  <si>
    <t xml:space="preserve">number of samples </t>
  </si>
  <si>
    <t>(pg/mg)</t>
  </si>
  <si>
    <t xml:space="preserve">IL-β (Figure 1F) </t>
  </si>
  <si>
    <r>
      <t>PGE</t>
    </r>
    <r>
      <rPr>
        <b/>
        <vertAlign val="subscript"/>
        <sz val="12"/>
        <color rgb="FF0070C0"/>
        <rFont val="Arial"/>
        <family val="2"/>
      </rPr>
      <t>2</t>
    </r>
    <r>
      <rPr>
        <b/>
        <sz val="12"/>
        <color rgb="FF0070C0"/>
        <rFont val="Arial"/>
        <family val="2"/>
      </rPr>
      <t xml:space="preserve"> (Figure 1H) </t>
    </r>
  </si>
  <si>
    <t xml:space="preserve">mean  (mg/g) </t>
  </si>
  <si>
    <t xml:space="preserve"> grams </t>
  </si>
  <si>
    <t xml:space="preserve">mean (g) </t>
  </si>
  <si>
    <r>
      <rPr>
        <sz val="12"/>
        <color theme="1"/>
        <rFont val="Aptos Narrow"/>
        <family val="2"/>
      </rPr>
      <t>µ</t>
    </r>
    <r>
      <rPr>
        <sz val="12"/>
        <color theme="1"/>
        <rFont val="Arial"/>
        <family val="2"/>
      </rPr>
      <t xml:space="preserve">g/mL </t>
    </r>
  </si>
  <si>
    <t xml:space="preserve">mean (µg/mL) </t>
  </si>
  <si>
    <t xml:space="preserve">mean (pg/mg)  </t>
  </si>
  <si>
    <t xml:space="preserve">PLF - IL-1β Figure 2C </t>
  </si>
  <si>
    <t>Peritonal Φ - IL-1β  Figure 2F</t>
  </si>
  <si>
    <t>Peritonal Φ - IL-1β  Figure 2G</t>
  </si>
  <si>
    <r>
      <t xml:space="preserve"> </t>
    </r>
    <r>
      <rPr>
        <b/>
        <sz val="12"/>
        <color theme="1"/>
        <rFont val="Arial"/>
        <family val="2"/>
      </rPr>
      <t xml:space="preserve">Figure 2 </t>
    </r>
  </si>
  <si>
    <r>
      <t>PLF - PGE</t>
    </r>
    <r>
      <rPr>
        <b/>
        <vertAlign val="subscript"/>
        <sz val="12"/>
        <color rgb="FF0070C0"/>
        <rFont val="Arial"/>
        <family val="2"/>
      </rPr>
      <t>2</t>
    </r>
    <r>
      <rPr>
        <b/>
        <sz val="12"/>
        <color rgb="FF0070C0"/>
        <rFont val="Arial"/>
        <family val="2"/>
      </rPr>
      <t xml:space="preserve"> Figure 2D</t>
    </r>
  </si>
  <si>
    <r>
      <t>mean pg/mL X 10</t>
    </r>
    <r>
      <rPr>
        <vertAlign val="superscript"/>
        <sz val="12"/>
        <color theme="1"/>
        <rFont val="Arial"/>
        <family val="2"/>
      </rPr>
      <t>3</t>
    </r>
  </si>
  <si>
    <t>mean(pg/mL)</t>
  </si>
  <si>
    <t xml:space="preserve">mean (mU/mL) </t>
  </si>
  <si>
    <r>
      <rPr>
        <b/>
        <sz val="12"/>
        <rFont val="Arial"/>
        <family val="2"/>
      </rPr>
      <t>Dose</t>
    </r>
    <r>
      <rPr>
        <sz val="12"/>
        <rFont val="Arial"/>
        <family val="2"/>
      </rPr>
      <t xml:space="preserve"> </t>
    </r>
  </si>
  <si>
    <t xml:space="preserve">CBC (complete blood count) </t>
  </si>
  <si>
    <t>µg/mL</t>
  </si>
  <si>
    <t>mean (µg/mL)</t>
  </si>
  <si>
    <r>
      <t>mean RUL x 10</t>
    </r>
    <r>
      <rPr>
        <b/>
        <vertAlign val="superscript"/>
        <sz val="12"/>
        <color theme="1"/>
        <rFont val="Arial"/>
        <family val="2"/>
      </rPr>
      <t xml:space="preserve">5 </t>
    </r>
  </si>
  <si>
    <r>
      <t xml:space="preserve"> </t>
    </r>
    <r>
      <rPr>
        <b/>
        <sz val="12"/>
        <color theme="1"/>
        <rFont val="Arial"/>
        <family val="2"/>
      </rPr>
      <t xml:space="preserve">mean </t>
    </r>
  </si>
  <si>
    <t xml:space="preserve">IL-1β </t>
  </si>
  <si>
    <r>
      <t>IC</t>
    </r>
    <r>
      <rPr>
        <b/>
        <vertAlign val="subscript"/>
        <sz val="12"/>
        <color theme="1"/>
        <rFont val="Arial"/>
        <family val="2"/>
      </rPr>
      <t>50</t>
    </r>
    <r>
      <rPr>
        <b/>
        <sz val="12"/>
        <color theme="1"/>
        <rFont val="Arial"/>
        <family val="2"/>
      </rPr>
      <t xml:space="preserve"> in mouse blood </t>
    </r>
  </si>
  <si>
    <r>
      <t>IC</t>
    </r>
    <r>
      <rPr>
        <vertAlign val="subscript"/>
        <sz val="12"/>
        <color theme="1"/>
        <rFont val="Arial"/>
        <family val="2"/>
      </rPr>
      <t>50</t>
    </r>
    <r>
      <rPr>
        <sz val="12"/>
        <color theme="1"/>
        <rFont val="Arial"/>
        <family val="2"/>
      </rPr>
      <t xml:space="preserve"> = 0.58</t>
    </r>
  </si>
  <si>
    <t xml:space="preserve">Supplemental Figure 2B </t>
  </si>
  <si>
    <t>Pooled blood from D305N hu*/hu*  mice</t>
  </si>
  <si>
    <t>Figure 3 H</t>
  </si>
  <si>
    <t xml:space="preserve">Figure 3 G </t>
  </si>
  <si>
    <t>% of WBC</t>
  </si>
  <si>
    <t>%</t>
  </si>
  <si>
    <t>WBC</t>
  </si>
  <si>
    <t>Neut</t>
  </si>
  <si>
    <t>Lymph</t>
  </si>
  <si>
    <t>Mono</t>
  </si>
  <si>
    <t>Eosin</t>
  </si>
  <si>
    <t>Baso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</si>
</sst>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0070C0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bscript"/>
      <sz val="12"/>
      <color rgb="FF0070C0"/>
      <name val="Arial"/>
      <family val="2"/>
    </font>
    <font>
      <sz val="12"/>
      <color theme="1"/>
      <name val="Aptos Narrow"/>
      <family val="2"/>
    </font>
    <font>
      <sz val="12"/>
      <color theme="9" tint="-0.249977111117893"/>
      <name val="Arial"/>
      <family val="2"/>
    </font>
    <font>
      <sz val="12"/>
      <color theme="5" tint="-0.249977111117893"/>
      <name val="Arial"/>
      <family val="2"/>
    </font>
    <font>
      <sz val="12"/>
      <color rgb="FF7030A0"/>
      <name val="Arial"/>
      <family val="2"/>
    </font>
    <font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b/>
      <vertAlign val="superscript"/>
      <sz val="12"/>
      <color theme="1"/>
      <name val="Arial"/>
      <family val="2"/>
    </font>
    <font>
      <sz val="12"/>
      <color rgb="FF0070C0"/>
      <name val="Arial"/>
      <family val="2"/>
    </font>
    <font>
      <b/>
      <vertAlign val="subscript"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4" fontId="10" fillId="0" borderId="0" xfId="0" applyNumberFormat="1" applyFont="1"/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7" fillId="0" borderId="0" xfId="0" applyNumberFormat="1" applyFont="1"/>
    <xf numFmtId="4" fontId="6" fillId="0" borderId="0" xfId="0" applyNumberFormat="1" applyFont="1"/>
    <xf numFmtId="4" fontId="9" fillId="0" borderId="0" xfId="0" applyNumberFormat="1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4" fontId="8" fillId="0" borderId="0" xfId="0" applyNumberFormat="1" applyFont="1"/>
    <xf numFmtId="4" fontId="20" fillId="0" borderId="0" xfId="0" applyNumberFormat="1" applyFont="1"/>
    <xf numFmtId="4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0" fillId="0" borderId="0" xfId="0" applyFont="1"/>
    <xf numFmtId="0" fontId="7" fillId="0" borderId="0" xfId="0" applyFont="1" applyAlignment="1">
      <alignment horizontal="center" wrapText="1"/>
    </xf>
    <xf numFmtId="11" fontId="7" fillId="0" borderId="0" xfId="0" applyNumberFormat="1" applyFont="1" applyAlignment="1">
      <alignment horizontal="center"/>
    </xf>
    <xf numFmtId="0" fontId="23" fillId="0" borderId="0" xfId="0" applyFont="1"/>
    <xf numFmtId="0" fontId="9" fillId="0" borderId="0" xfId="0" applyFont="1" applyAlignment="1">
      <alignment horizontal="left"/>
    </xf>
    <xf numFmtId="4" fontId="6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1175-8560-4BE6-90B4-19A6B5DEA820}">
  <sheetPr>
    <pageSetUpPr fitToPage="1"/>
  </sheetPr>
  <dimension ref="A1:J136"/>
  <sheetViews>
    <sheetView topLeftCell="A81" workbookViewId="0"/>
  </sheetViews>
  <sheetFormatPr defaultRowHeight="15" x14ac:dyDescent="0.25"/>
  <cols>
    <col min="1" max="1" width="26.42578125" customWidth="1"/>
    <col min="2" max="4" width="9.28515625" bestFit="1" customWidth="1"/>
    <col min="5" max="6" width="10.140625" bestFit="1" customWidth="1"/>
  </cols>
  <sheetData>
    <row r="1" spans="1:7" ht="15.75" x14ac:dyDescent="0.25">
      <c r="A1" s="7" t="s">
        <v>126</v>
      </c>
      <c r="B1" s="8"/>
      <c r="C1" s="8"/>
      <c r="D1" s="8"/>
      <c r="E1" s="8"/>
      <c r="F1" s="8"/>
    </row>
    <row r="2" spans="1:7" s="3" customFormat="1" ht="15.75" x14ac:dyDescent="0.25">
      <c r="A2" s="9" t="s">
        <v>8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</row>
    <row r="3" spans="1:7" ht="15.75" x14ac:dyDescent="0.25">
      <c r="A3" s="8" t="s">
        <v>160</v>
      </c>
      <c r="B3" s="11">
        <v>28.8</v>
      </c>
      <c r="C3" s="11">
        <v>26.9</v>
      </c>
      <c r="D3" s="11">
        <v>25.6</v>
      </c>
      <c r="E3" s="11">
        <v>28.7</v>
      </c>
      <c r="F3" s="11">
        <v>21.6</v>
      </c>
    </row>
    <row r="4" spans="1:7" ht="15.75" x14ac:dyDescent="0.25">
      <c r="A4" s="8"/>
      <c r="B4" s="11">
        <v>23.1</v>
      </c>
      <c r="C4" s="11">
        <v>28.7</v>
      </c>
      <c r="D4" s="11">
        <v>28.6</v>
      </c>
      <c r="E4" s="11">
        <v>24.1</v>
      </c>
      <c r="F4" s="11">
        <v>25</v>
      </c>
    </row>
    <row r="5" spans="1:7" ht="15.75" x14ac:dyDescent="0.25">
      <c r="A5" s="8"/>
      <c r="B5" s="11">
        <v>23.5</v>
      </c>
      <c r="C5" s="11">
        <v>25.9</v>
      </c>
      <c r="D5" s="11">
        <v>25.2</v>
      </c>
      <c r="E5" s="11">
        <v>21.1</v>
      </c>
      <c r="F5" s="11">
        <v>26.5</v>
      </c>
    </row>
    <row r="6" spans="1:7" ht="15.75" x14ac:dyDescent="0.25">
      <c r="A6" s="8"/>
      <c r="B6" s="11">
        <v>25.1</v>
      </c>
      <c r="C6" s="11">
        <v>27.7</v>
      </c>
      <c r="D6" s="11">
        <v>25.1</v>
      </c>
      <c r="E6" s="11">
        <v>24.1</v>
      </c>
      <c r="F6" s="11">
        <v>25.5</v>
      </c>
    </row>
    <row r="7" spans="1:7" ht="15.75" x14ac:dyDescent="0.25">
      <c r="A7" s="8"/>
      <c r="B7" s="11">
        <v>23.7</v>
      </c>
      <c r="C7" s="11">
        <v>28.2</v>
      </c>
      <c r="D7" s="11">
        <v>20.3</v>
      </c>
      <c r="E7" s="11">
        <v>24.1</v>
      </c>
      <c r="F7" s="11">
        <v>22.5</v>
      </c>
    </row>
    <row r="8" spans="1:7" ht="15.75" x14ac:dyDescent="0.25">
      <c r="A8" s="8"/>
      <c r="B8" s="11">
        <v>26.4</v>
      </c>
      <c r="C8" s="11">
        <v>27.3</v>
      </c>
      <c r="D8" s="11">
        <v>25.7</v>
      </c>
      <c r="E8" s="11">
        <v>31.8</v>
      </c>
      <c r="F8" s="11">
        <v>26</v>
      </c>
    </row>
    <row r="9" spans="1:7" ht="15.75" x14ac:dyDescent="0.25">
      <c r="A9" s="8"/>
      <c r="B9" s="11">
        <v>31.2</v>
      </c>
      <c r="C9" s="11">
        <v>25.5</v>
      </c>
      <c r="D9" s="11">
        <v>28</v>
      </c>
      <c r="E9" s="11">
        <v>25.1</v>
      </c>
      <c r="F9" s="11">
        <v>23.1</v>
      </c>
    </row>
    <row r="10" spans="1:7" ht="15.75" x14ac:dyDescent="0.25">
      <c r="A10" s="8"/>
      <c r="B10" s="11">
        <v>23.2</v>
      </c>
      <c r="C10" s="11">
        <v>27.3</v>
      </c>
      <c r="D10" s="11">
        <v>20.399999999999999</v>
      </c>
      <c r="E10" s="11"/>
      <c r="F10" s="11">
        <v>21.9</v>
      </c>
    </row>
    <row r="11" spans="1:7" ht="15.75" x14ac:dyDescent="0.25">
      <c r="A11" s="8"/>
      <c r="B11" s="11">
        <v>26.3</v>
      </c>
      <c r="C11" s="11">
        <v>26</v>
      </c>
      <c r="D11" s="11">
        <v>25.4</v>
      </c>
      <c r="E11" s="11"/>
      <c r="F11" s="11">
        <v>22.9</v>
      </c>
    </row>
    <row r="12" spans="1:7" ht="15.75" x14ac:dyDescent="0.25">
      <c r="A12" s="8"/>
      <c r="B12" s="11">
        <v>27.9</v>
      </c>
      <c r="C12" s="11">
        <v>26.2</v>
      </c>
      <c r="D12" s="11">
        <v>24.1</v>
      </c>
      <c r="E12" s="11"/>
      <c r="F12" s="11"/>
    </row>
    <row r="13" spans="1:7" ht="15.75" x14ac:dyDescent="0.25">
      <c r="A13" s="8"/>
      <c r="B13" s="11"/>
      <c r="C13" s="11"/>
      <c r="D13" s="11"/>
      <c r="E13" s="11"/>
      <c r="F13" s="11"/>
    </row>
    <row r="14" spans="1:7" ht="15.75" x14ac:dyDescent="0.25">
      <c r="A14" s="7" t="s">
        <v>161</v>
      </c>
      <c r="B14" s="12">
        <f>AVERAGE(B3:B12)</f>
        <v>25.919999999999998</v>
      </c>
      <c r="C14" s="12">
        <f>AVERAGE(C3:C12)</f>
        <v>26.970000000000006</v>
      </c>
      <c r="D14" s="12">
        <f>AVERAGE(D3:D12)</f>
        <v>24.84</v>
      </c>
      <c r="E14" s="12">
        <f>AVERAGE(E3:E12)</f>
        <v>25.571428571428573</v>
      </c>
      <c r="F14" s="12">
        <f>AVERAGE(F3:F12 )</f>
        <v>23.888888888888889</v>
      </c>
      <c r="G14" s="4"/>
    </row>
    <row r="15" spans="1:7" ht="15.75" x14ac:dyDescent="0.25">
      <c r="A15" s="8" t="s">
        <v>155</v>
      </c>
      <c r="B15" s="13">
        <v>10</v>
      </c>
      <c r="C15" s="13">
        <v>10</v>
      </c>
      <c r="D15" s="13">
        <v>10</v>
      </c>
      <c r="E15" s="13">
        <v>7</v>
      </c>
      <c r="F15" s="13">
        <v>9</v>
      </c>
      <c r="G15" s="4"/>
    </row>
    <row r="16" spans="1:7" ht="15.75" x14ac:dyDescent="0.25">
      <c r="A16" s="8"/>
      <c r="B16" s="13"/>
      <c r="C16" s="13"/>
      <c r="D16" s="13"/>
      <c r="E16" s="13"/>
      <c r="F16" s="13"/>
      <c r="G16" s="4"/>
    </row>
    <row r="17" spans="1:10" ht="15.75" x14ac:dyDescent="0.25">
      <c r="A17" s="8" t="s">
        <v>9</v>
      </c>
      <c r="B17" s="11"/>
      <c r="C17" s="11"/>
      <c r="D17" s="11"/>
      <c r="E17" s="11"/>
      <c r="F17" s="11"/>
    </row>
    <row r="18" spans="1:10" s="3" customFormat="1" ht="15.75" x14ac:dyDescent="0.25">
      <c r="A18" s="9" t="s">
        <v>16</v>
      </c>
      <c r="B18" s="10" t="s">
        <v>5</v>
      </c>
      <c r="C18" s="10" t="s">
        <v>6</v>
      </c>
      <c r="D18" s="10" t="s">
        <v>7</v>
      </c>
      <c r="E18" s="10" t="s">
        <v>3</v>
      </c>
      <c r="F18" s="10" t="s">
        <v>4</v>
      </c>
    </row>
    <row r="19" spans="1:10" ht="15.75" x14ac:dyDescent="0.25">
      <c r="A19" s="8" t="s">
        <v>50</v>
      </c>
      <c r="B19" s="11">
        <v>97.16</v>
      </c>
      <c r="C19" s="11">
        <v>108.33</v>
      </c>
      <c r="D19" s="11">
        <v>199.35</v>
      </c>
      <c r="E19" s="11">
        <v>131.44999999999999</v>
      </c>
      <c r="F19" s="11">
        <v>89.98</v>
      </c>
      <c r="J19" s="1"/>
    </row>
    <row r="20" spans="1:10" ht="15.75" x14ac:dyDescent="0.25">
      <c r="A20" s="8"/>
      <c r="B20" s="11">
        <v>71.12</v>
      </c>
      <c r="C20" s="11">
        <v>107.27</v>
      </c>
      <c r="D20" s="11">
        <v>109.2</v>
      </c>
      <c r="E20" s="11">
        <v>124</v>
      </c>
      <c r="F20" s="11">
        <v>179.86</v>
      </c>
      <c r="J20" s="1"/>
    </row>
    <row r="21" spans="1:10" ht="15.75" x14ac:dyDescent="0.25">
      <c r="A21" s="8"/>
      <c r="B21" s="11">
        <v>73.849999999999994</v>
      </c>
      <c r="C21" s="11">
        <v>77.17</v>
      </c>
      <c r="D21" s="11">
        <v>109.3</v>
      </c>
      <c r="E21" s="11">
        <v>144.88</v>
      </c>
      <c r="F21" s="11">
        <v>90.84</v>
      </c>
      <c r="J21" s="1"/>
    </row>
    <row r="22" spans="1:10" ht="15.75" x14ac:dyDescent="0.25">
      <c r="A22" s="8"/>
      <c r="B22" s="11">
        <v>75.87</v>
      </c>
      <c r="C22" s="11">
        <v>112.31</v>
      </c>
      <c r="D22" s="11">
        <v>98.48</v>
      </c>
      <c r="E22" s="11">
        <v>110.02</v>
      </c>
      <c r="F22" s="11">
        <v>120.54</v>
      </c>
      <c r="J22" s="1"/>
    </row>
    <row r="23" spans="1:10" ht="15.75" x14ac:dyDescent="0.25">
      <c r="A23" s="8"/>
      <c r="B23" s="11">
        <v>69.45</v>
      </c>
      <c r="C23" s="11">
        <v>90.18</v>
      </c>
      <c r="D23" s="11">
        <v>72.989999999999995</v>
      </c>
      <c r="E23" s="11">
        <v>130.6</v>
      </c>
      <c r="F23" s="11">
        <v>100.56</v>
      </c>
      <c r="J23" s="1"/>
    </row>
    <row r="24" spans="1:10" ht="15.75" x14ac:dyDescent="0.25">
      <c r="A24" s="8"/>
      <c r="B24" s="11">
        <v>78.98</v>
      </c>
      <c r="C24" s="11">
        <v>125.15</v>
      </c>
      <c r="D24" s="11">
        <v>100.81</v>
      </c>
      <c r="E24" s="11">
        <v>159.86000000000001</v>
      </c>
      <c r="F24" s="11">
        <v>326.26</v>
      </c>
      <c r="J24" s="1"/>
    </row>
    <row r="25" spans="1:10" ht="15.75" x14ac:dyDescent="0.25">
      <c r="A25" s="8"/>
      <c r="B25" s="11">
        <v>96.14</v>
      </c>
      <c r="C25" s="11">
        <v>94.96</v>
      </c>
      <c r="D25" s="11">
        <v>86.79</v>
      </c>
      <c r="E25" s="11">
        <v>129.58000000000001</v>
      </c>
      <c r="F25" s="11">
        <v>158.9</v>
      </c>
      <c r="J25" s="1"/>
    </row>
    <row r="26" spans="1:10" ht="15.75" x14ac:dyDescent="0.25">
      <c r="A26" s="8"/>
      <c r="B26" s="11">
        <v>68.760000000000005</v>
      </c>
      <c r="C26" s="11">
        <v>104.71</v>
      </c>
      <c r="D26" s="11">
        <v>71.489999999999995</v>
      </c>
      <c r="E26" s="11"/>
      <c r="F26" s="11">
        <v>168.36</v>
      </c>
      <c r="J26" s="1"/>
    </row>
    <row r="27" spans="1:10" ht="15.75" x14ac:dyDescent="0.25">
      <c r="A27" s="8"/>
      <c r="B27" s="11">
        <v>78.760000000000005</v>
      </c>
      <c r="C27" s="11">
        <v>101.97</v>
      </c>
      <c r="D27" s="11">
        <v>143.58000000000001</v>
      </c>
      <c r="E27" s="11"/>
      <c r="F27" s="11">
        <v>410.18</v>
      </c>
      <c r="J27" s="1"/>
    </row>
    <row r="28" spans="1:10" ht="15.75" x14ac:dyDescent="0.25">
      <c r="A28" s="8"/>
      <c r="B28" s="11">
        <v>84.4</v>
      </c>
      <c r="C28" s="11">
        <v>99.97</v>
      </c>
      <c r="D28" s="11">
        <v>69.02</v>
      </c>
      <c r="E28" s="11"/>
      <c r="F28" s="11"/>
      <c r="J28" s="1"/>
    </row>
    <row r="29" spans="1:10" ht="15.75" x14ac:dyDescent="0.25">
      <c r="A29" s="8"/>
      <c r="B29" s="11"/>
      <c r="C29" s="11"/>
      <c r="D29" s="11"/>
      <c r="E29" s="11"/>
      <c r="F29" s="11"/>
    </row>
    <row r="30" spans="1:10" ht="15.75" x14ac:dyDescent="0.25">
      <c r="A30" s="7" t="s">
        <v>70</v>
      </c>
      <c r="B30" s="12">
        <f>AVERAGE(B19:B28)</f>
        <v>79.448999999999998</v>
      </c>
      <c r="C30" s="12">
        <f>AVERAGE(C19:C28)</f>
        <v>102.20200000000001</v>
      </c>
      <c r="D30" s="12">
        <f>AVERAGE(D19:D28)</f>
        <v>106.10100000000003</v>
      </c>
      <c r="E30" s="12">
        <f>AVERAGE(E19:E28)</f>
        <v>132.91285714285715</v>
      </c>
      <c r="F30" s="12">
        <f>AVERAGE(F19:F28)</f>
        <v>182.83111111111114</v>
      </c>
    </row>
    <row r="31" spans="1:10" ht="15.75" x14ac:dyDescent="0.25">
      <c r="A31" s="8" t="s">
        <v>155</v>
      </c>
      <c r="B31" s="14">
        <v>10</v>
      </c>
      <c r="C31" s="13">
        <v>10</v>
      </c>
      <c r="D31" s="13">
        <v>10</v>
      </c>
      <c r="E31" s="13">
        <v>7</v>
      </c>
      <c r="F31" s="13">
        <v>9</v>
      </c>
    </row>
    <row r="32" spans="1:10" ht="15.75" x14ac:dyDescent="0.25">
      <c r="A32" s="8"/>
      <c r="B32" s="8"/>
      <c r="C32" s="8"/>
      <c r="D32" s="8"/>
      <c r="E32" s="8"/>
      <c r="F32" s="8"/>
    </row>
    <row r="33" spans="1:6" s="3" customFormat="1" ht="15.75" x14ac:dyDescent="0.25">
      <c r="A33" s="9" t="s">
        <v>10</v>
      </c>
      <c r="B33" s="10" t="s">
        <v>5</v>
      </c>
      <c r="C33" s="10" t="s">
        <v>6</v>
      </c>
      <c r="D33" s="10" t="s">
        <v>7</v>
      </c>
      <c r="E33" s="10" t="s">
        <v>3</v>
      </c>
      <c r="F33" s="10" t="s">
        <v>4</v>
      </c>
    </row>
    <row r="34" spans="1:6" ht="15.75" x14ac:dyDescent="0.25">
      <c r="A34" s="8" t="s">
        <v>50</v>
      </c>
      <c r="B34" s="11">
        <v>1202.3900000000001</v>
      </c>
      <c r="C34" s="11">
        <v>957.64</v>
      </c>
      <c r="D34" s="11">
        <v>1047.9100000000001</v>
      </c>
      <c r="E34" s="11">
        <v>1040.07</v>
      </c>
      <c r="F34" s="11">
        <v>969.97</v>
      </c>
    </row>
    <row r="35" spans="1:6" ht="15.75" x14ac:dyDescent="0.25">
      <c r="A35" s="8"/>
      <c r="B35" s="11">
        <v>832.84</v>
      </c>
      <c r="C35" s="11">
        <v>850.22</v>
      </c>
      <c r="D35" s="11">
        <v>984.8</v>
      </c>
      <c r="E35" s="11">
        <v>737.98</v>
      </c>
      <c r="F35" s="11">
        <v>783.53</v>
      </c>
    </row>
    <row r="36" spans="1:6" ht="15.75" x14ac:dyDescent="0.25">
      <c r="A36" s="8"/>
      <c r="B36" s="11">
        <v>912.66</v>
      </c>
      <c r="C36" s="11">
        <v>786.67</v>
      </c>
      <c r="D36" s="11">
        <v>1133.21</v>
      </c>
      <c r="E36" s="11">
        <v>836.68</v>
      </c>
      <c r="F36" s="11">
        <v>779.23</v>
      </c>
    </row>
    <row r="37" spans="1:6" ht="15.75" x14ac:dyDescent="0.25">
      <c r="A37" s="8"/>
      <c r="B37" s="11">
        <v>845.73</v>
      </c>
      <c r="C37" s="11">
        <v>943.94</v>
      </c>
      <c r="D37" s="11">
        <v>1063.19</v>
      </c>
      <c r="E37" s="11">
        <v>858.73</v>
      </c>
      <c r="F37" s="11">
        <v>903.98</v>
      </c>
    </row>
    <row r="38" spans="1:6" ht="15.75" x14ac:dyDescent="0.25">
      <c r="A38" s="8"/>
      <c r="B38" s="11">
        <v>521.22</v>
      </c>
      <c r="C38" s="11">
        <v>896.67</v>
      </c>
      <c r="D38" s="11">
        <v>687.75</v>
      </c>
      <c r="E38" s="11">
        <v>918.51</v>
      </c>
      <c r="F38" s="11">
        <v>782.75</v>
      </c>
    </row>
    <row r="39" spans="1:6" ht="15.75" x14ac:dyDescent="0.25">
      <c r="A39" s="8"/>
      <c r="B39" s="11">
        <v>1046.79</v>
      </c>
      <c r="C39" s="11">
        <v>954.63</v>
      </c>
      <c r="D39" s="11">
        <v>984.98</v>
      </c>
      <c r="E39" s="11">
        <v>1099.24</v>
      </c>
      <c r="F39" s="11">
        <v>816.56</v>
      </c>
    </row>
    <row r="40" spans="1:6" ht="15.75" x14ac:dyDescent="0.25">
      <c r="A40" s="8"/>
      <c r="B40" s="11">
        <v>1028.44</v>
      </c>
      <c r="C40" s="11">
        <v>885.74</v>
      </c>
      <c r="D40" s="11">
        <v>965.51</v>
      </c>
      <c r="E40" s="11">
        <v>978.92</v>
      </c>
      <c r="F40" s="11">
        <v>800.22</v>
      </c>
    </row>
    <row r="41" spans="1:6" ht="15.75" x14ac:dyDescent="0.25">
      <c r="A41" s="8"/>
      <c r="B41" s="11">
        <v>822.63</v>
      </c>
      <c r="C41" s="11">
        <v>898.74</v>
      </c>
      <c r="D41" s="11">
        <v>681.57</v>
      </c>
      <c r="E41" s="11"/>
      <c r="F41" s="11"/>
    </row>
    <row r="42" spans="1:6" ht="15.75" x14ac:dyDescent="0.25">
      <c r="A42" s="8"/>
      <c r="B42" s="11">
        <v>896.01</v>
      </c>
      <c r="C42" s="11">
        <v>838.97</v>
      </c>
      <c r="D42" s="11">
        <v>930.85</v>
      </c>
      <c r="E42" s="11"/>
      <c r="F42" s="11"/>
    </row>
    <row r="43" spans="1:6" ht="15.75" x14ac:dyDescent="0.25">
      <c r="A43" s="8"/>
      <c r="B43" s="11">
        <v>893.96</v>
      </c>
      <c r="C43" s="11">
        <v>846.9</v>
      </c>
      <c r="D43" s="11">
        <v>856.07</v>
      </c>
      <c r="E43" s="11"/>
      <c r="F43" s="11"/>
    </row>
    <row r="44" spans="1:6" ht="15.75" x14ac:dyDescent="0.25">
      <c r="A44" s="8"/>
      <c r="B44" s="11"/>
      <c r="C44" s="11"/>
      <c r="D44" s="11"/>
      <c r="E44" s="11"/>
      <c r="F44" s="11"/>
    </row>
    <row r="45" spans="1:6" s="2" customFormat="1" ht="15.75" x14ac:dyDescent="0.25">
      <c r="A45" s="7" t="s">
        <v>159</v>
      </c>
      <c r="B45" s="12">
        <f>AVERAGE(B34:B43)</f>
        <v>900.26700000000005</v>
      </c>
      <c r="C45" s="12">
        <f>AVERAGE(C34:C43)</f>
        <v>886.01200000000006</v>
      </c>
      <c r="D45" s="12">
        <f>AVERAGE(D34:D43)</f>
        <v>933.58400000000006</v>
      </c>
      <c r="E45" s="12">
        <f>AVERAGE(E34:E43)</f>
        <v>924.3042857142857</v>
      </c>
      <c r="F45" s="12">
        <f>AVERAGE(F34:F43)</f>
        <v>833.74857142857149</v>
      </c>
    </row>
    <row r="46" spans="1:6" ht="15.75" x14ac:dyDescent="0.25">
      <c r="A46" s="8"/>
      <c r="B46" s="14">
        <v>10</v>
      </c>
      <c r="C46" s="14">
        <v>10</v>
      </c>
      <c r="D46" s="14">
        <v>10</v>
      </c>
      <c r="E46" s="14">
        <v>7</v>
      </c>
      <c r="F46" s="14">
        <v>7</v>
      </c>
    </row>
    <row r="47" spans="1:6" ht="15.75" x14ac:dyDescent="0.25">
      <c r="A47" s="8"/>
      <c r="B47" s="8"/>
      <c r="C47" s="8"/>
      <c r="D47" s="8"/>
      <c r="E47" s="8"/>
      <c r="F47" s="8"/>
    </row>
    <row r="48" spans="1:6" s="3" customFormat="1" ht="15.75" x14ac:dyDescent="0.25">
      <c r="A48" s="9" t="s">
        <v>11</v>
      </c>
      <c r="B48" s="10" t="s">
        <v>5</v>
      </c>
      <c r="C48" s="10" t="s">
        <v>6</v>
      </c>
      <c r="D48" s="10" t="s">
        <v>7</v>
      </c>
      <c r="E48" s="10" t="s">
        <v>3</v>
      </c>
      <c r="F48" s="10" t="s">
        <v>4</v>
      </c>
    </row>
    <row r="49" spans="1:6" ht="15.75" x14ac:dyDescent="0.25">
      <c r="A49" s="8" t="s">
        <v>44</v>
      </c>
      <c r="B49" s="11">
        <v>10.92</v>
      </c>
      <c r="C49" s="11">
        <v>0</v>
      </c>
      <c r="D49" s="11">
        <v>109.68</v>
      </c>
      <c r="E49" s="11">
        <v>76.900000000000006</v>
      </c>
      <c r="F49" s="11">
        <v>178.02</v>
      </c>
    </row>
    <row r="50" spans="1:6" ht="15.75" x14ac:dyDescent="0.25">
      <c r="A50" s="8"/>
      <c r="B50" s="11">
        <v>0</v>
      </c>
      <c r="C50" s="11">
        <v>0</v>
      </c>
      <c r="D50" s="11">
        <v>70.08</v>
      </c>
      <c r="E50" s="11">
        <v>83.5</v>
      </c>
      <c r="F50" s="11">
        <v>154.06</v>
      </c>
    </row>
    <row r="51" spans="1:6" ht="15.75" x14ac:dyDescent="0.25">
      <c r="A51" s="8"/>
      <c r="B51" s="11">
        <v>0</v>
      </c>
      <c r="C51" s="11">
        <v>17.899999999999999</v>
      </c>
      <c r="D51" s="11">
        <v>31.32</v>
      </c>
      <c r="E51" s="11">
        <v>22.98</v>
      </c>
      <c r="F51" s="11">
        <v>373.54</v>
      </c>
    </row>
    <row r="52" spans="1:6" ht="15.75" x14ac:dyDescent="0.25">
      <c r="A52" s="8"/>
      <c r="B52" s="11">
        <v>0</v>
      </c>
      <c r="C52" s="11">
        <v>0</v>
      </c>
      <c r="D52" s="11">
        <v>35.68</v>
      </c>
      <c r="E52" s="11">
        <v>144.19999999999999</v>
      </c>
      <c r="F52" s="11">
        <v>149.96</v>
      </c>
    </row>
    <row r="53" spans="1:6" ht="15.75" x14ac:dyDescent="0.25">
      <c r="A53" s="8"/>
      <c r="B53" s="11">
        <v>0</v>
      </c>
      <c r="C53" s="11">
        <v>0</v>
      </c>
      <c r="D53" s="11">
        <v>26.36</v>
      </c>
      <c r="E53" s="11">
        <v>114.84</v>
      </c>
      <c r="F53" s="11">
        <v>68.14</v>
      </c>
    </row>
    <row r="54" spans="1:6" ht="15.75" x14ac:dyDescent="0.25">
      <c r="A54" s="8"/>
      <c r="B54" s="11">
        <v>5.56</v>
      </c>
      <c r="C54" s="11">
        <v>0</v>
      </c>
      <c r="D54" s="11">
        <v>35.479999999999997</v>
      </c>
      <c r="E54" s="11">
        <v>217.8</v>
      </c>
      <c r="F54" s="11">
        <v>157.86000000000001</v>
      </c>
    </row>
    <row r="55" spans="1:6" ht="15.75" x14ac:dyDescent="0.25">
      <c r="A55" s="8"/>
      <c r="B55" s="11">
        <v>21.04</v>
      </c>
      <c r="C55" s="11">
        <v>15.28</v>
      </c>
      <c r="D55" s="11">
        <v>10.08</v>
      </c>
      <c r="E55" s="11">
        <v>118.6</v>
      </c>
      <c r="F55" s="11">
        <v>128.91999999999999</v>
      </c>
    </row>
    <row r="56" spans="1:6" ht="15.75" x14ac:dyDescent="0.25">
      <c r="A56" s="8"/>
      <c r="B56" s="11">
        <v>0</v>
      </c>
      <c r="C56" s="11">
        <v>13.86</v>
      </c>
      <c r="D56" s="11">
        <v>62.26</v>
      </c>
      <c r="E56" s="11"/>
      <c r="F56" s="11">
        <v>251.94</v>
      </c>
    </row>
    <row r="57" spans="1:6" ht="15.75" x14ac:dyDescent="0.25">
      <c r="A57" s="8"/>
      <c r="B57" s="11">
        <v>0</v>
      </c>
      <c r="C57" s="11">
        <v>16.86</v>
      </c>
      <c r="D57" s="11">
        <v>34.56</v>
      </c>
      <c r="E57" s="11"/>
      <c r="F57" s="11">
        <v>369.98</v>
      </c>
    </row>
    <row r="58" spans="1:6" ht="15.75" x14ac:dyDescent="0.25">
      <c r="A58" s="8"/>
      <c r="B58" s="11">
        <v>0</v>
      </c>
      <c r="C58" s="11">
        <v>0</v>
      </c>
      <c r="D58" s="11">
        <v>85.68</v>
      </c>
      <c r="E58" s="11"/>
      <c r="F58" s="11"/>
    </row>
    <row r="59" spans="1:6" ht="15.75" x14ac:dyDescent="0.25">
      <c r="A59" s="8"/>
      <c r="B59" s="11"/>
      <c r="C59" s="11"/>
      <c r="D59" s="11"/>
      <c r="E59" s="11"/>
      <c r="F59" s="11"/>
    </row>
    <row r="60" spans="1:6" s="2" customFormat="1" ht="15.75" x14ac:dyDescent="0.25">
      <c r="A60" s="15" t="s">
        <v>63</v>
      </c>
      <c r="B60" s="16">
        <f>AVERAGE(B49:B58)</f>
        <v>3.7519999999999998</v>
      </c>
      <c r="C60" s="16">
        <f>AVERAGE(C49:C58)</f>
        <v>6.39</v>
      </c>
      <c r="D60" s="16">
        <f>AVERAGE(D49:D58)</f>
        <v>50.118000000000002</v>
      </c>
      <c r="E60" s="16">
        <f>AVERAGE(E49:E58)</f>
        <v>111.26</v>
      </c>
      <c r="F60" s="16">
        <f>AVERAGE(F49:F58)</f>
        <v>203.60222222222225</v>
      </c>
    </row>
    <row r="61" spans="1:6" s="2" customFormat="1" ht="15.75" x14ac:dyDescent="0.25">
      <c r="A61" s="8" t="s">
        <v>155</v>
      </c>
      <c r="B61" s="14">
        <v>10</v>
      </c>
      <c r="C61" s="13">
        <v>10</v>
      </c>
      <c r="D61" s="13">
        <v>10</v>
      </c>
      <c r="E61" s="13">
        <v>7</v>
      </c>
      <c r="F61" s="13">
        <v>9</v>
      </c>
    </row>
    <row r="62" spans="1:6" ht="15.75" x14ac:dyDescent="0.25">
      <c r="A62" s="8"/>
      <c r="B62" s="8"/>
      <c r="C62" s="8"/>
      <c r="D62" s="8"/>
      <c r="E62" s="8"/>
      <c r="F62" s="8"/>
    </row>
    <row r="63" spans="1:6" s="3" customFormat="1" ht="15.75" x14ac:dyDescent="0.25">
      <c r="A63" s="9" t="s">
        <v>12</v>
      </c>
      <c r="B63" s="10" t="s">
        <v>5</v>
      </c>
      <c r="C63" s="10" t="s">
        <v>6</v>
      </c>
      <c r="D63" s="10" t="s">
        <v>7</v>
      </c>
      <c r="E63" s="10" t="s">
        <v>3</v>
      </c>
      <c r="F63" s="10" t="s">
        <v>4</v>
      </c>
    </row>
    <row r="64" spans="1:6" ht="15.75" x14ac:dyDescent="0.25">
      <c r="A64" s="8" t="s">
        <v>162</v>
      </c>
      <c r="B64" s="11">
        <v>619.005</v>
      </c>
      <c r="C64" s="11">
        <v>653.79499999999996</v>
      </c>
      <c r="D64" s="11">
        <v>670.37</v>
      </c>
      <c r="E64" s="11">
        <v>1073.95</v>
      </c>
      <c r="F64" s="11">
        <v>890.09</v>
      </c>
    </row>
    <row r="65" spans="1:6" ht="15.75" x14ac:dyDescent="0.25">
      <c r="A65" s="8"/>
      <c r="B65" s="11">
        <v>516.91499999999996</v>
      </c>
      <c r="C65" s="11">
        <v>893.505</v>
      </c>
      <c r="D65" s="11">
        <v>621.51</v>
      </c>
      <c r="E65" s="11">
        <v>1038.7149999999999</v>
      </c>
      <c r="F65" s="11">
        <v>1514.01</v>
      </c>
    </row>
    <row r="66" spans="1:6" ht="15.75" x14ac:dyDescent="0.25">
      <c r="A66" s="8"/>
      <c r="B66" s="11">
        <v>728.39</v>
      </c>
      <c r="C66" s="11">
        <v>795.25</v>
      </c>
      <c r="D66" s="11">
        <v>891.44</v>
      </c>
      <c r="E66" s="11">
        <v>1556.76</v>
      </c>
      <c r="F66" s="11">
        <v>1291.46</v>
      </c>
    </row>
    <row r="67" spans="1:6" ht="15.75" x14ac:dyDescent="0.25">
      <c r="A67" s="8"/>
      <c r="B67" s="11">
        <v>661.38499999999999</v>
      </c>
      <c r="C67" s="11">
        <v>788.91</v>
      </c>
      <c r="D67" s="11">
        <v>727.43499999999995</v>
      </c>
      <c r="E67" s="11">
        <v>1124.96</v>
      </c>
      <c r="F67" s="11">
        <v>858.1</v>
      </c>
    </row>
    <row r="68" spans="1:6" ht="15.75" x14ac:dyDescent="0.25">
      <c r="A68" s="8"/>
      <c r="B68" s="11">
        <v>517.94500000000005</v>
      </c>
      <c r="C68" s="11">
        <v>930.54499999999996</v>
      </c>
      <c r="D68" s="11">
        <v>807.19</v>
      </c>
      <c r="E68" s="11">
        <v>1106.825</v>
      </c>
      <c r="F68" s="11">
        <v>1112.8900000000001</v>
      </c>
    </row>
    <row r="69" spans="1:6" ht="15.75" x14ac:dyDescent="0.25">
      <c r="A69" s="8"/>
      <c r="B69" s="11">
        <v>585.16999999999996</v>
      </c>
      <c r="C69" s="11">
        <v>1058.99</v>
      </c>
      <c r="D69" s="11">
        <v>736.13</v>
      </c>
      <c r="E69" s="11">
        <v>1002.67</v>
      </c>
      <c r="F69" s="11">
        <v>2133.0100000000002</v>
      </c>
    </row>
    <row r="70" spans="1:6" ht="15.75" x14ac:dyDescent="0.25">
      <c r="A70" s="8"/>
      <c r="B70" s="11">
        <v>704.36</v>
      </c>
      <c r="C70" s="11">
        <v>1027.7349999999999</v>
      </c>
      <c r="D70" s="11">
        <v>843.53</v>
      </c>
      <c r="E70" s="11">
        <v>1225.28</v>
      </c>
      <c r="F70" s="11">
        <v>1596.54</v>
      </c>
    </row>
    <row r="71" spans="1:6" ht="15.75" x14ac:dyDescent="0.25">
      <c r="A71" s="8"/>
      <c r="B71" s="11">
        <v>471.36</v>
      </c>
      <c r="C71" s="11">
        <v>922.99</v>
      </c>
      <c r="D71" s="11">
        <v>664.48500000000001</v>
      </c>
      <c r="E71" s="11"/>
      <c r="F71" s="11">
        <v>1360.0250000000001</v>
      </c>
    </row>
    <row r="72" spans="1:6" ht="15.75" x14ac:dyDescent="0.25">
      <c r="A72" s="8"/>
      <c r="B72" s="11">
        <v>698.61</v>
      </c>
      <c r="C72" s="11">
        <v>1036.3599999999999</v>
      </c>
      <c r="D72" s="11">
        <v>1038.94</v>
      </c>
      <c r="E72" s="11"/>
      <c r="F72" s="11"/>
    </row>
    <row r="73" spans="1:6" ht="15.75" x14ac:dyDescent="0.25">
      <c r="A73" s="8"/>
      <c r="B73" s="11">
        <v>512.71</v>
      </c>
      <c r="C73" s="11">
        <v>1003.85</v>
      </c>
      <c r="D73" s="11">
        <v>765.02499999999998</v>
      </c>
      <c r="E73" s="11"/>
      <c r="F73" s="11"/>
    </row>
    <row r="74" spans="1:6" ht="15.75" x14ac:dyDescent="0.25">
      <c r="A74" s="8"/>
      <c r="B74" s="11"/>
      <c r="C74" s="11"/>
      <c r="D74" s="11"/>
      <c r="E74" s="11"/>
      <c r="F74" s="11"/>
    </row>
    <row r="75" spans="1:6" s="2" customFormat="1" ht="15.75" x14ac:dyDescent="0.25">
      <c r="A75" s="17" t="s">
        <v>163</v>
      </c>
      <c r="B75" s="12">
        <f>AVERAGE(B64:B73)</f>
        <v>601.58499999999992</v>
      </c>
      <c r="C75" s="12">
        <f>AVERAGE(C64:C73)</f>
        <v>911.19299999999987</v>
      </c>
      <c r="D75" s="12">
        <f>AVERAGE(D64:D73)</f>
        <v>776.60549999999989</v>
      </c>
      <c r="E75" s="12">
        <f>AVERAGE(E64:E73)</f>
        <v>1161.3085714285714</v>
      </c>
      <c r="F75" s="12">
        <f>AVERAGE(F64:F73)</f>
        <v>1344.515625</v>
      </c>
    </row>
    <row r="76" spans="1:6" ht="15.75" x14ac:dyDescent="0.25">
      <c r="A76" s="8" t="s">
        <v>155</v>
      </c>
      <c r="B76" s="14">
        <v>10</v>
      </c>
      <c r="C76" s="13">
        <v>10</v>
      </c>
      <c r="D76" s="13">
        <v>10</v>
      </c>
      <c r="E76" s="13">
        <v>7</v>
      </c>
      <c r="F76" s="13">
        <v>8</v>
      </c>
    </row>
    <row r="77" spans="1:6" ht="15.75" x14ac:dyDescent="0.25">
      <c r="A77" s="8"/>
      <c r="B77" s="8"/>
      <c r="C77" s="8"/>
      <c r="D77" s="8"/>
      <c r="E77" s="8"/>
      <c r="F77" s="8"/>
    </row>
    <row r="78" spans="1:6" s="3" customFormat="1" ht="15.75" x14ac:dyDescent="0.25">
      <c r="A78" s="9" t="s">
        <v>157</v>
      </c>
      <c r="B78" s="10" t="s">
        <v>5</v>
      </c>
      <c r="C78" s="10" t="s">
        <v>6</v>
      </c>
      <c r="D78" s="10" t="s">
        <v>7</v>
      </c>
      <c r="E78" s="10" t="s">
        <v>3</v>
      </c>
      <c r="F78" s="10" t="s">
        <v>4</v>
      </c>
    </row>
    <row r="79" spans="1:6" ht="15.75" x14ac:dyDescent="0.25">
      <c r="A79" s="8" t="s">
        <v>42</v>
      </c>
      <c r="B79" s="11">
        <v>0</v>
      </c>
      <c r="C79" s="11">
        <v>3.56</v>
      </c>
      <c r="D79" s="11">
        <v>66.86</v>
      </c>
      <c r="E79" s="11">
        <v>17.3</v>
      </c>
      <c r="F79" s="11">
        <v>14.52</v>
      </c>
    </row>
    <row r="80" spans="1:6" ht="15.75" x14ac:dyDescent="0.25">
      <c r="A80" s="8"/>
      <c r="B80" s="11">
        <v>0</v>
      </c>
      <c r="C80" s="11">
        <v>5.92</v>
      </c>
      <c r="D80" s="11">
        <v>9.84</v>
      </c>
      <c r="E80" s="11">
        <v>11.12</v>
      </c>
      <c r="F80" s="11">
        <v>15.82</v>
      </c>
    </row>
    <row r="81" spans="1:6" ht="15.75" x14ac:dyDescent="0.25">
      <c r="A81" s="8"/>
      <c r="B81" s="11">
        <v>0</v>
      </c>
      <c r="C81" s="11">
        <v>23.14</v>
      </c>
      <c r="D81" s="11">
        <v>9.36</v>
      </c>
      <c r="E81" s="11">
        <v>41.2</v>
      </c>
      <c r="F81" s="11">
        <v>16.52</v>
      </c>
    </row>
    <row r="82" spans="1:6" ht="15.75" x14ac:dyDescent="0.25">
      <c r="A82" s="8"/>
      <c r="B82" s="11">
        <v>0</v>
      </c>
      <c r="C82" s="11">
        <v>0</v>
      </c>
      <c r="D82" s="11">
        <v>27.68</v>
      </c>
      <c r="E82" s="11">
        <v>50.86</v>
      </c>
      <c r="F82" s="11">
        <v>31.12</v>
      </c>
    </row>
    <row r="83" spans="1:6" ht="15.75" x14ac:dyDescent="0.25">
      <c r="A83" s="8"/>
      <c r="B83" s="11">
        <v>0</v>
      </c>
      <c r="C83" s="11">
        <v>0</v>
      </c>
      <c r="D83" s="11">
        <v>20.5</v>
      </c>
      <c r="E83" s="11">
        <v>37.380000000000003</v>
      </c>
      <c r="F83" s="11">
        <v>14.86</v>
      </c>
    </row>
    <row r="84" spans="1:6" ht="15.75" x14ac:dyDescent="0.25">
      <c r="A84" s="8"/>
      <c r="B84" s="11">
        <v>0</v>
      </c>
      <c r="C84" s="11">
        <v>0</v>
      </c>
      <c r="D84" s="11">
        <v>17.64</v>
      </c>
      <c r="E84" s="11">
        <v>31.2</v>
      </c>
      <c r="F84" s="11">
        <v>26.04</v>
      </c>
    </row>
    <row r="85" spans="1:6" ht="15.75" x14ac:dyDescent="0.25">
      <c r="A85" s="8"/>
      <c r="B85" s="11"/>
      <c r="C85" s="11">
        <v>0</v>
      </c>
      <c r="D85" s="11">
        <v>12.04</v>
      </c>
      <c r="E85" s="11">
        <v>23.02</v>
      </c>
      <c r="F85" s="11">
        <v>32.92</v>
      </c>
    </row>
    <row r="86" spans="1:6" ht="15.75" x14ac:dyDescent="0.25">
      <c r="A86" s="8"/>
      <c r="B86" s="11"/>
      <c r="C86" s="11">
        <v>18.100000000000001</v>
      </c>
      <c r="D86" s="11">
        <v>16.559999999999999</v>
      </c>
      <c r="E86" s="11">
        <v>10.199999999999999</v>
      </c>
      <c r="F86" s="11">
        <v>17.86</v>
      </c>
    </row>
    <row r="87" spans="1:6" ht="15.75" x14ac:dyDescent="0.25">
      <c r="A87" s="8"/>
      <c r="B87" s="11"/>
      <c r="C87" s="11"/>
      <c r="D87" s="11">
        <v>16.579999999999998</v>
      </c>
      <c r="E87" s="11"/>
      <c r="F87" s="11">
        <v>53.56</v>
      </c>
    </row>
    <row r="88" spans="1:6" ht="15.75" x14ac:dyDescent="0.25">
      <c r="A88" s="8"/>
      <c r="B88" s="11"/>
      <c r="C88" s="11"/>
      <c r="D88" s="11">
        <v>17.760000000000002</v>
      </c>
      <c r="E88" s="11"/>
      <c r="F88" s="11"/>
    </row>
    <row r="89" spans="1:6" ht="15.75" x14ac:dyDescent="0.25">
      <c r="A89" s="8"/>
      <c r="B89" s="11"/>
      <c r="C89" s="11"/>
      <c r="D89" s="11"/>
      <c r="E89" s="11"/>
      <c r="F89" s="11"/>
    </row>
    <row r="90" spans="1:6" ht="15.75" x14ac:dyDescent="0.25">
      <c r="A90" s="17" t="s">
        <v>64</v>
      </c>
      <c r="B90" s="12">
        <f>AVERAGE(B79:B88)</f>
        <v>0</v>
      </c>
      <c r="C90" s="12">
        <f>AVERAGE(C79:C88)</f>
        <v>6.3400000000000007</v>
      </c>
      <c r="D90" s="12">
        <f>AVERAGE(D79:D88)</f>
        <v>21.481999999999999</v>
      </c>
      <c r="E90" s="12">
        <f>AVERAGE(E79:E88)</f>
        <v>27.785</v>
      </c>
      <c r="F90" s="12">
        <f>AVERAGE(F79:F88)</f>
        <v>24.802222222222227</v>
      </c>
    </row>
    <row r="91" spans="1:6" ht="15.75" x14ac:dyDescent="0.25">
      <c r="A91" s="8" t="s">
        <v>155</v>
      </c>
      <c r="B91" s="14">
        <v>6</v>
      </c>
      <c r="C91" s="14">
        <v>8</v>
      </c>
      <c r="D91" s="14">
        <v>10</v>
      </c>
      <c r="E91" s="14">
        <v>8</v>
      </c>
      <c r="F91" s="14">
        <v>9</v>
      </c>
    </row>
    <row r="92" spans="1:6" ht="15.75" x14ac:dyDescent="0.25">
      <c r="A92" s="8"/>
      <c r="B92" s="8"/>
      <c r="C92" s="8"/>
      <c r="D92" s="8"/>
      <c r="E92" s="8"/>
      <c r="F92" s="8"/>
    </row>
    <row r="93" spans="1:6" s="3" customFormat="1" ht="15.75" x14ac:dyDescent="0.25">
      <c r="A93" s="9" t="s">
        <v>13</v>
      </c>
      <c r="B93" s="10" t="s">
        <v>5</v>
      </c>
      <c r="C93" s="10" t="s">
        <v>6</v>
      </c>
      <c r="D93" s="10" t="s">
        <v>7</v>
      </c>
      <c r="E93" s="10" t="s">
        <v>3</v>
      </c>
      <c r="F93" s="10" t="s">
        <v>4</v>
      </c>
    </row>
    <row r="94" spans="1:6" ht="15.75" x14ac:dyDescent="0.25">
      <c r="A94" s="8" t="s">
        <v>42</v>
      </c>
      <c r="B94" s="11">
        <v>215.3</v>
      </c>
      <c r="C94" s="11">
        <v>241.94</v>
      </c>
      <c r="D94" s="11">
        <v>517.98</v>
      </c>
      <c r="E94" s="11">
        <v>433.68</v>
      </c>
      <c r="F94" s="11">
        <v>265.24</v>
      </c>
    </row>
    <row r="95" spans="1:6" ht="15.75" x14ac:dyDescent="0.25">
      <c r="A95" s="8"/>
      <c r="B95" s="11">
        <v>112.54</v>
      </c>
      <c r="C95" s="11">
        <v>165.46</v>
      </c>
      <c r="D95" s="11">
        <v>324.12</v>
      </c>
      <c r="E95" s="11">
        <v>173.28</v>
      </c>
      <c r="F95" s="11">
        <v>336.68</v>
      </c>
    </row>
    <row r="96" spans="1:6" ht="15.75" x14ac:dyDescent="0.25">
      <c r="A96" s="8"/>
      <c r="B96" s="11">
        <v>258.52</v>
      </c>
      <c r="C96" s="11">
        <v>269.24</v>
      </c>
      <c r="D96" s="11">
        <v>312.27999999999997</v>
      </c>
      <c r="E96" s="11">
        <v>448.02</v>
      </c>
      <c r="F96" s="11">
        <v>466.38</v>
      </c>
    </row>
    <row r="97" spans="1:6" ht="15.75" x14ac:dyDescent="0.25">
      <c r="A97" s="8"/>
      <c r="B97" s="11">
        <v>313.02</v>
      </c>
      <c r="C97" s="11">
        <v>389.52</v>
      </c>
      <c r="D97" s="11">
        <v>385.98</v>
      </c>
      <c r="E97" s="11">
        <v>496.84</v>
      </c>
      <c r="F97" s="11">
        <v>391.46</v>
      </c>
    </row>
    <row r="98" spans="1:6" ht="15.75" x14ac:dyDescent="0.25">
      <c r="A98" s="8"/>
      <c r="B98" s="11">
        <v>222</v>
      </c>
      <c r="C98" s="11">
        <v>148.6</v>
      </c>
      <c r="D98" s="11">
        <v>406.94</v>
      </c>
      <c r="E98" s="11">
        <v>662.02</v>
      </c>
      <c r="F98" s="11">
        <v>287.7</v>
      </c>
    </row>
    <row r="99" spans="1:6" ht="15.75" x14ac:dyDescent="0.25">
      <c r="A99" s="8"/>
      <c r="B99" s="11">
        <v>233.38</v>
      </c>
      <c r="C99" s="11">
        <v>225.64</v>
      </c>
      <c r="D99" s="11">
        <v>372.84</v>
      </c>
      <c r="E99" s="11">
        <v>444.1</v>
      </c>
      <c r="F99" s="11">
        <v>357.94</v>
      </c>
    </row>
    <row r="100" spans="1:6" ht="15.75" x14ac:dyDescent="0.25">
      <c r="A100" s="8"/>
      <c r="B100" s="11"/>
      <c r="C100" s="11">
        <v>271.48</v>
      </c>
      <c r="D100" s="11">
        <v>158.56</v>
      </c>
      <c r="E100" s="11">
        <v>511.84</v>
      </c>
      <c r="F100" s="11">
        <v>467.86</v>
      </c>
    </row>
    <row r="101" spans="1:6" ht="15.75" x14ac:dyDescent="0.25">
      <c r="A101" s="8"/>
      <c r="B101" s="11"/>
      <c r="C101" s="11">
        <v>135.56</v>
      </c>
      <c r="D101" s="11">
        <v>557.48</v>
      </c>
      <c r="E101" s="11"/>
      <c r="F101" s="11">
        <v>266.16000000000003</v>
      </c>
    </row>
    <row r="102" spans="1:6" ht="15.75" x14ac:dyDescent="0.25">
      <c r="A102" s="8"/>
      <c r="B102" s="11"/>
      <c r="C102" s="11">
        <v>290.48</v>
      </c>
      <c r="D102" s="11">
        <v>132.76</v>
      </c>
      <c r="E102" s="11"/>
      <c r="F102" s="11">
        <v>500.1</v>
      </c>
    </row>
    <row r="103" spans="1:6" ht="15.75" x14ac:dyDescent="0.25">
      <c r="A103" s="8"/>
      <c r="B103" s="11"/>
      <c r="C103" s="11"/>
      <c r="D103" s="11">
        <v>310.32</v>
      </c>
      <c r="E103" s="11"/>
      <c r="F103" s="11"/>
    </row>
    <row r="104" spans="1:6" ht="15.75" x14ac:dyDescent="0.25">
      <c r="A104" s="8"/>
      <c r="B104" s="11"/>
      <c r="C104" s="11"/>
      <c r="D104" s="11"/>
      <c r="E104" s="11"/>
      <c r="F104" s="11"/>
    </row>
    <row r="105" spans="1:6" ht="15.75" x14ac:dyDescent="0.25">
      <c r="A105" s="17" t="s">
        <v>64</v>
      </c>
      <c r="B105" s="12">
        <f>AVERAGE(B94:B99)</f>
        <v>225.79333333333338</v>
      </c>
      <c r="C105" s="12">
        <f>AVERAGE(C94:C103)</f>
        <v>237.54666666666662</v>
      </c>
      <c r="D105" s="12">
        <f>AVERAGE(D94:D103)</f>
        <v>347.92600000000004</v>
      </c>
      <c r="E105" s="12">
        <f>AVERAGE(E94:E103)</f>
        <v>452.8257142857143</v>
      </c>
      <c r="F105" s="12">
        <f>AVERAGE(F94:F103)</f>
        <v>371.0577777777778</v>
      </c>
    </row>
    <row r="106" spans="1:6" ht="15.75" x14ac:dyDescent="0.25">
      <c r="A106" s="8" t="s">
        <v>155</v>
      </c>
      <c r="B106" s="14">
        <v>6</v>
      </c>
      <c r="C106" s="14">
        <v>9</v>
      </c>
      <c r="D106" s="14">
        <v>10</v>
      </c>
      <c r="E106" s="14">
        <v>7</v>
      </c>
      <c r="F106" s="14">
        <v>9</v>
      </c>
    </row>
    <row r="107" spans="1:6" ht="15.75" x14ac:dyDescent="0.25">
      <c r="A107" s="8"/>
      <c r="B107" s="8"/>
      <c r="C107" s="8"/>
      <c r="D107" s="8"/>
      <c r="E107" s="8"/>
      <c r="F107" s="8"/>
    </row>
    <row r="108" spans="1:6" s="3" customFormat="1" ht="18.75" x14ac:dyDescent="0.35">
      <c r="A108" s="9" t="s">
        <v>158</v>
      </c>
      <c r="B108" s="10" t="s">
        <v>5</v>
      </c>
      <c r="C108" s="10" t="s">
        <v>6</v>
      </c>
      <c r="D108" s="10" t="s">
        <v>7</v>
      </c>
      <c r="E108" s="10" t="s">
        <v>3</v>
      </c>
      <c r="F108" s="10" t="s">
        <v>4</v>
      </c>
    </row>
    <row r="109" spans="1:6" ht="15.75" x14ac:dyDescent="0.25">
      <c r="A109" s="8" t="s">
        <v>67</v>
      </c>
      <c r="B109" s="11">
        <v>7.301361</v>
      </c>
      <c r="C109" s="11">
        <v>37.168579999999999</v>
      </c>
      <c r="D109" s="11">
        <v>26.9</v>
      </c>
      <c r="E109" s="11">
        <v>67.794610000000006</v>
      </c>
      <c r="F109" s="11">
        <v>58.344290000000001</v>
      </c>
    </row>
    <row r="110" spans="1:6" ht="15.75" x14ac:dyDescent="0.25">
      <c r="A110" s="8"/>
      <c r="B110" s="11">
        <v>36.184359999999998</v>
      </c>
      <c r="C110" s="11">
        <v>54.173319999999997</v>
      </c>
      <c r="D110" s="11">
        <v>22.618860000000002</v>
      </c>
      <c r="E110" s="11">
        <v>74.055279999999996</v>
      </c>
      <c r="F110" s="11">
        <v>75.207369999999997</v>
      </c>
    </row>
    <row r="111" spans="1:6" ht="15.75" x14ac:dyDescent="0.25">
      <c r="A111" s="8"/>
      <c r="B111" s="11">
        <v>89.101759999999999</v>
      </c>
      <c r="C111" s="11">
        <v>40.583550000000002</v>
      </c>
      <c r="D111" s="11">
        <v>61.9056</v>
      </c>
      <c r="E111" s="11">
        <v>66.321709999999996</v>
      </c>
      <c r="F111" s="11">
        <v>60.04298</v>
      </c>
    </row>
    <row r="112" spans="1:6" ht="15.75" x14ac:dyDescent="0.25">
      <c r="A112" s="8"/>
      <c r="B112" s="11">
        <v>37.91507</v>
      </c>
      <c r="C112" s="11">
        <v>34.380009999999999</v>
      </c>
      <c r="D112" s="11">
        <v>62.303229999999999</v>
      </c>
      <c r="E112" s="11">
        <v>163.80779999999999</v>
      </c>
      <c r="F112" s="11">
        <v>43.243020000000001</v>
      </c>
    </row>
    <row r="113" spans="1:6" ht="15.75" x14ac:dyDescent="0.25">
      <c r="A113" s="8"/>
      <c r="B113" s="11">
        <v>84.584670000000003</v>
      </c>
      <c r="C113" s="11">
        <v>38.772709999999996</v>
      </c>
      <c r="D113" s="11">
        <v>38.016570000000002</v>
      </c>
      <c r="E113" s="11">
        <v>137.68109999999999</v>
      </c>
      <c r="F113" s="11">
        <v>45.879289999999997</v>
      </c>
    </row>
    <row r="114" spans="1:6" ht="15.75" x14ac:dyDescent="0.25">
      <c r="A114" s="8"/>
      <c r="B114" s="11">
        <v>93.583629999999999</v>
      </c>
      <c r="C114" s="11">
        <v>67.332589999999996</v>
      </c>
      <c r="D114" s="11">
        <v>71.739590000000007</v>
      </c>
      <c r="E114" s="11">
        <v>138.84559999999999</v>
      </c>
      <c r="F114" s="11">
        <v>74.12706</v>
      </c>
    </row>
    <row r="115" spans="1:6" ht="15.75" x14ac:dyDescent="0.25">
      <c r="A115" s="8"/>
      <c r="B115" s="11"/>
      <c r="C115" s="11">
        <v>56.768160000000002</v>
      </c>
      <c r="D115" s="11">
        <v>66.819280000000006</v>
      </c>
      <c r="E115" s="11"/>
      <c r="F115" s="11">
        <v>87.246930000000006</v>
      </c>
    </row>
    <row r="116" spans="1:6" ht="15.75" x14ac:dyDescent="0.25">
      <c r="A116" s="8"/>
      <c r="B116" s="11"/>
      <c r="C116" s="11">
        <v>72.866309999999999</v>
      </c>
      <c r="D116" s="11">
        <v>121.0501</v>
      </c>
      <c r="E116" s="11"/>
      <c r="F116" s="11">
        <v>183.6156</v>
      </c>
    </row>
    <row r="117" spans="1:6" ht="15.75" x14ac:dyDescent="0.25">
      <c r="A117" s="8"/>
      <c r="B117" s="11"/>
      <c r="C117" s="11">
        <v>67.19453</v>
      </c>
      <c r="D117" s="11"/>
      <c r="E117" s="11"/>
      <c r="F117" s="11">
        <v>268.83690000000001</v>
      </c>
    </row>
    <row r="118" spans="1:6" ht="15.75" x14ac:dyDescent="0.25">
      <c r="A118" s="8"/>
      <c r="B118" s="11"/>
      <c r="C118" s="11"/>
      <c r="D118" s="11"/>
      <c r="E118" s="11"/>
      <c r="F118" s="11"/>
    </row>
    <row r="119" spans="1:6" ht="15.75" x14ac:dyDescent="0.25">
      <c r="A119" s="17" t="s">
        <v>15</v>
      </c>
      <c r="B119" s="12">
        <f>AVERAGE(B109:B118)</f>
        <v>58.111808499999995</v>
      </c>
      <c r="C119" s="12">
        <f>AVERAGE(C109:C118)</f>
        <v>52.137751111111108</v>
      </c>
      <c r="D119" s="12">
        <f>AVERAGE(D109:D118)</f>
        <v>58.91915375</v>
      </c>
      <c r="E119" s="12">
        <f>AVERAGE(E109:E118)</f>
        <v>108.08434999999999</v>
      </c>
      <c r="F119" s="12">
        <f>AVERAGE(F109:F118)</f>
        <v>99.615937777777788</v>
      </c>
    </row>
    <row r="120" spans="1:6" ht="15.75" x14ac:dyDescent="0.25">
      <c r="A120" s="8" t="s">
        <v>155</v>
      </c>
      <c r="B120" s="18">
        <v>6</v>
      </c>
      <c r="C120" s="18">
        <v>9</v>
      </c>
      <c r="D120" s="18">
        <v>8</v>
      </c>
      <c r="E120" s="18">
        <v>6</v>
      </c>
      <c r="F120" s="18">
        <v>9</v>
      </c>
    </row>
    <row r="121" spans="1:6" ht="15.75" x14ac:dyDescent="0.25">
      <c r="A121" s="17"/>
      <c r="B121" s="16"/>
      <c r="C121" s="16"/>
      <c r="D121" s="16"/>
      <c r="E121" s="16"/>
      <c r="F121" s="16"/>
    </row>
    <row r="122" spans="1:6" ht="15.75" x14ac:dyDescent="0.25">
      <c r="A122" s="8"/>
      <c r="B122" s="8"/>
      <c r="C122" s="8"/>
      <c r="D122" s="8"/>
      <c r="E122" s="8"/>
      <c r="F122" s="8"/>
    </row>
    <row r="123" spans="1:6" s="3" customFormat="1" ht="15.75" x14ac:dyDescent="0.25">
      <c r="A123" s="9" t="s">
        <v>14</v>
      </c>
      <c r="B123" s="10" t="s">
        <v>5</v>
      </c>
      <c r="C123" s="10" t="s">
        <v>6</v>
      </c>
      <c r="D123" s="10" t="s">
        <v>7</v>
      </c>
      <c r="E123" s="10" t="s">
        <v>3</v>
      </c>
      <c r="F123" s="10" t="s">
        <v>4</v>
      </c>
    </row>
    <row r="124" spans="1:6" ht="15.75" x14ac:dyDescent="0.25">
      <c r="A124" s="8" t="s">
        <v>156</v>
      </c>
      <c r="B124" s="11">
        <v>1.56</v>
      </c>
      <c r="C124" s="11">
        <v>3.82</v>
      </c>
      <c r="D124" s="11">
        <v>25.66</v>
      </c>
      <c r="E124" s="11">
        <v>11.46</v>
      </c>
      <c r="F124" s="11">
        <v>24.68</v>
      </c>
    </row>
    <row r="125" spans="1:6" ht="15.75" x14ac:dyDescent="0.25">
      <c r="A125" s="8"/>
      <c r="B125" s="11">
        <v>3.82</v>
      </c>
      <c r="C125" s="11">
        <v>4.72</v>
      </c>
      <c r="D125" s="11">
        <v>6.06</v>
      </c>
      <c r="E125" s="11">
        <v>9.86</v>
      </c>
      <c r="F125" s="11">
        <v>22.28</v>
      </c>
    </row>
    <row r="126" spans="1:6" ht="15.75" x14ac:dyDescent="0.25">
      <c r="A126" s="8"/>
      <c r="B126" s="11">
        <v>3.84</v>
      </c>
      <c r="C126" s="11">
        <v>3.22</v>
      </c>
      <c r="D126" s="11">
        <v>6.32</v>
      </c>
      <c r="E126" s="11">
        <v>22.42</v>
      </c>
      <c r="F126" s="11">
        <v>13.88</v>
      </c>
    </row>
    <row r="127" spans="1:6" ht="15.75" x14ac:dyDescent="0.25">
      <c r="A127" s="8"/>
      <c r="B127" s="11">
        <v>3.18</v>
      </c>
      <c r="C127" s="11">
        <v>6.52</v>
      </c>
      <c r="D127" s="11">
        <v>5.94</v>
      </c>
      <c r="E127" s="11">
        <v>15.74</v>
      </c>
      <c r="F127" s="11">
        <v>8.76</v>
      </c>
    </row>
    <row r="128" spans="1:6" ht="15.75" x14ac:dyDescent="0.25">
      <c r="A128" s="8"/>
      <c r="B128" s="11">
        <v>2.38</v>
      </c>
      <c r="C128" s="11">
        <v>12.68</v>
      </c>
      <c r="D128" s="11">
        <v>7.52</v>
      </c>
      <c r="E128" s="11">
        <v>21.08</v>
      </c>
      <c r="F128" s="11">
        <v>9.74</v>
      </c>
    </row>
    <row r="129" spans="1:6" ht="15.75" x14ac:dyDescent="0.25">
      <c r="A129" s="8"/>
      <c r="B129" s="11">
        <v>2.92</v>
      </c>
      <c r="C129" s="11">
        <v>1.96</v>
      </c>
      <c r="D129" s="11">
        <v>17.82</v>
      </c>
      <c r="E129" s="11">
        <v>14.74</v>
      </c>
      <c r="F129" s="11">
        <v>6.38</v>
      </c>
    </row>
    <row r="130" spans="1:6" ht="15.75" x14ac:dyDescent="0.25">
      <c r="A130" s="8"/>
      <c r="B130" s="11"/>
      <c r="C130" s="11">
        <v>3.48</v>
      </c>
      <c r="D130" s="11">
        <v>8.5</v>
      </c>
      <c r="E130" s="11">
        <v>14.66</v>
      </c>
      <c r="F130" s="11">
        <v>9.2799999999999994</v>
      </c>
    </row>
    <row r="131" spans="1:6" ht="15.75" x14ac:dyDescent="0.25">
      <c r="A131" s="8"/>
      <c r="B131" s="11"/>
      <c r="C131" s="11">
        <v>13.56</v>
      </c>
      <c r="D131" s="11">
        <v>10.06</v>
      </c>
      <c r="E131" s="11"/>
      <c r="F131" s="11">
        <v>32.08</v>
      </c>
    </row>
    <row r="132" spans="1:6" ht="15.75" x14ac:dyDescent="0.25">
      <c r="A132" s="8"/>
      <c r="B132" s="11"/>
      <c r="C132" s="11">
        <v>4.0999999999999996</v>
      </c>
      <c r="D132" s="11">
        <v>14.68</v>
      </c>
      <c r="E132" s="11"/>
      <c r="F132" s="11">
        <v>27.54</v>
      </c>
    </row>
    <row r="133" spans="1:6" ht="15.75" x14ac:dyDescent="0.25">
      <c r="A133" s="8"/>
      <c r="B133" s="11"/>
      <c r="C133" s="11"/>
      <c r="D133" s="11">
        <v>6.16</v>
      </c>
      <c r="E133" s="11"/>
      <c r="F133" s="11"/>
    </row>
    <row r="134" spans="1:6" ht="15.75" x14ac:dyDescent="0.25">
      <c r="A134" s="8"/>
      <c r="B134" s="11"/>
      <c r="C134" s="11"/>
      <c r="D134" s="11"/>
      <c r="E134" s="11"/>
      <c r="F134" s="11"/>
    </row>
    <row r="135" spans="1:6" ht="15.75" x14ac:dyDescent="0.25">
      <c r="A135" s="17" t="s">
        <v>164</v>
      </c>
      <c r="B135" s="12">
        <f>AVERAGE(B124:B133)</f>
        <v>2.9499999999999993</v>
      </c>
      <c r="C135" s="12">
        <f>AVERAGE(C124:C133)</f>
        <v>6.0066666666666668</v>
      </c>
      <c r="D135" s="12">
        <f>AVERAGE(D124:D133)</f>
        <v>10.872</v>
      </c>
      <c r="E135" s="12">
        <f>AVERAGE(E124:E133)</f>
        <v>15.708571428571428</v>
      </c>
      <c r="F135" s="12">
        <f>AVERAGE(F124:F133)</f>
        <v>17.18</v>
      </c>
    </row>
    <row r="136" spans="1:6" ht="15.75" x14ac:dyDescent="0.25">
      <c r="A136" s="8" t="s">
        <v>155</v>
      </c>
      <c r="B136" s="18">
        <v>6</v>
      </c>
      <c r="C136" s="18">
        <v>9</v>
      </c>
      <c r="D136" s="18">
        <v>10</v>
      </c>
      <c r="E136" s="18">
        <v>7</v>
      </c>
      <c r="F136" s="18">
        <v>9</v>
      </c>
    </row>
  </sheetData>
  <pageMargins left="0.7" right="0.7" top="0.75" bottom="0.75" header="0.3" footer="0.3"/>
  <pageSetup scale="9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A9C9-E77D-497D-BC63-8AD6F8654CFC}">
  <dimension ref="A1:AO178"/>
  <sheetViews>
    <sheetView topLeftCell="A45" workbookViewId="0">
      <selection activeCell="I89" sqref="I89"/>
    </sheetView>
  </sheetViews>
  <sheetFormatPr defaultRowHeight="15" x14ac:dyDescent="0.2"/>
  <cols>
    <col min="1" max="1" width="26.5703125" style="8" customWidth="1"/>
    <col min="2" max="7" width="9.140625" style="8"/>
    <col min="8" max="8" width="16.7109375" style="8" customWidth="1"/>
    <col min="9" max="16384" width="9.140625" style="8"/>
  </cols>
  <sheetData>
    <row r="1" spans="1:41" ht="15.75" x14ac:dyDescent="0.25">
      <c r="A1" s="8" t="s">
        <v>168</v>
      </c>
    </row>
    <row r="3" spans="1:41" s="9" customFormat="1" ht="15.75" x14ac:dyDescent="0.25">
      <c r="A3" s="9" t="s">
        <v>17</v>
      </c>
      <c r="B3" s="10"/>
      <c r="C3" s="43" t="s">
        <v>0</v>
      </c>
      <c r="D3" s="43"/>
      <c r="E3" s="43"/>
      <c r="F3" s="43"/>
      <c r="G3" s="43"/>
      <c r="H3" s="43"/>
      <c r="I3" s="43"/>
      <c r="J3" s="43" t="s">
        <v>1</v>
      </c>
      <c r="K3" s="43"/>
      <c r="L3" s="43"/>
      <c r="M3" s="43"/>
      <c r="N3" s="43"/>
      <c r="O3" s="43"/>
      <c r="P3" s="43"/>
      <c r="Q3" s="10"/>
      <c r="R3" s="43" t="s">
        <v>7</v>
      </c>
      <c r="S3" s="43"/>
      <c r="T3" s="43"/>
      <c r="U3" s="43"/>
      <c r="V3" s="43"/>
      <c r="W3" s="43"/>
      <c r="X3" s="43"/>
      <c r="Y3" s="43" t="s">
        <v>3</v>
      </c>
      <c r="Z3" s="43"/>
      <c r="AA3" s="43"/>
      <c r="AB3" s="43"/>
      <c r="AC3" s="43"/>
      <c r="AD3" s="43"/>
      <c r="AE3" s="43"/>
      <c r="AF3" s="43"/>
      <c r="AG3" s="10"/>
      <c r="AH3" s="10"/>
      <c r="AI3" s="43" t="s">
        <v>4</v>
      </c>
      <c r="AJ3" s="43"/>
      <c r="AK3" s="43"/>
      <c r="AL3" s="43"/>
      <c r="AM3" s="43"/>
      <c r="AN3" s="43"/>
    </row>
    <row r="4" spans="1:41" s="18" customFormat="1" x14ac:dyDescent="0.2">
      <c r="A4" s="14" t="s">
        <v>21</v>
      </c>
      <c r="B4" s="14"/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>
        <v>6</v>
      </c>
      <c r="Q4" s="14">
        <v>7</v>
      </c>
      <c r="R4" s="14"/>
      <c r="S4" s="14">
        <v>1</v>
      </c>
      <c r="T4" s="14">
        <v>2</v>
      </c>
      <c r="U4" s="14">
        <v>3</v>
      </c>
      <c r="V4" s="14">
        <v>4</v>
      </c>
      <c r="W4" s="14">
        <v>5</v>
      </c>
      <c r="X4" s="14">
        <v>6</v>
      </c>
      <c r="Y4" s="14">
        <v>7</v>
      </c>
      <c r="Z4" s="14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4">
        <v>6</v>
      </c>
      <c r="AG4" s="14">
        <v>7</v>
      </c>
      <c r="AH4" s="14"/>
      <c r="AI4" s="14">
        <v>1</v>
      </c>
      <c r="AJ4" s="14">
        <v>2</v>
      </c>
      <c r="AK4" s="14">
        <v>3</v>
      </c>
      <c r="AL4" s="14">
        <v>4</v>
      </c>
      <c r="AM4" s="14">
        <v>5</v>
      </c>
      <c r="AN4" s="14">
        <v>6</v>
      </c>
      <c r="AO4" s="14"/>
    </row>
    <row r="5" spans="1:41" s="18" customFormat="1" x14ac:dyDescent="0.2">
      <c r="B5" s="14" t="s">
        <v>22</v>
      </c>
      <c r="C5" s="14">
        <v>37.1</v>
      </c>
      <c r="D5" s="14">
        <v>37.700000000000003</v>
      </c>
      <c r="E5" s="14">
        <v>37.299999999999997</v>
      </c>
      <c r="F5" s="14">
        <v>37.799999999999997</v>
      </c>
      <c r="G5" s="14">
        <v>37.4</v>
      </c>
      <c r="H5" s="14">
        <v>37.799999999999997</v>
      </c>
      <c r="I5" s="14">
        <v>37.700000000000003</v>
      </c>
      <c r="J5" s="14"/>
      <c r="K5" s="14">
        <v>37.700000000000003</v>
      </c>
      <c r="L5" s="14">
        <v>37.799999999999997</v>
      </c>
      <c r="M5" s="14">
        <v>37.799999999999997</v>
      </c>
      <c r="N5" s="14">
        <v>37.4</v>
      </c>
      <c r="O5" s="14">
        <v>38.200000000000003</v>
      </c>
      <c r="P5" s="14">
        <v>38.5</v>
      </c>
      <c r="Q5" s="14">
        <v>37.799999999999997</v>
      </c>
      <c r="R5" s="14"/>
      <c r="S5" s="14">
        <v>36.200000000000003</v>
      </c>
      <c r="T5" s="14">
        <v>37.9</v>
      </c>
      <c r="U5" s="14">
        <v>36.9</v>
      </c>
      <c r="V5" s="14">
        <v>37.200000000000003</v>
      </c>
      <c r="W5" s="14">
        <v>37.5</v>
      </c>
      <c r="X5" s="14">
        <v>37.9</v>
      </c>
      <c r="Y5" s="14">
        <v>37.9</v>
      </c>
      <c r="Z5" s="14"/>
      <c r="AA5" s="14">
        <v>36.9</v>
      </c>
      <c r="AB5" s="14">
        <v>38.299999999999997</v>
      </c>
      <c r="AC5" s="14">
        <v>36.4</v>
      </c>
      <c r="AD5" s="14">
        <v>37.700000000000003</v>
      </c>
      <c r="AE5" s="14">
        <v>38.299999999999997</v>
      </c>
      <c r="AF5" s="14">
        <v>38.299999999999997</v>
      </c>
      <c r="AG5" s="14">
        <v>38</v>
      </c>
      <c r="AH5" s="14"/>
      <c r="AI5" s="14">
        <v>36.9</v>
      </c>
      <c r="AJ5" s="14">
        <v>37.6</v>
      </c>
      <c r="AK5" s="14">
        <v>37.6</v>
      </c>
      <c r="AL5" s="14">
        <v>37.1</v>
      </c>
      <c r="AM5" s="14">
        <v>38.299999999999997</v>
      </c>
      <c r="AN5" s="14">
        <v>38</v>
      </c>
    </row>
    <row r="6" spans="1:41" s="18" customFormat="1" x14ac:dyDescent="0.2">
      <c r="B6" s="14" t="s">
        <v>23</v>
      </c>
      <c r="C6" s="14">
        <v>37.299999999999997</v>
      </c>
      <c r="D6" s="14">
        <v>37.5</v>
      </c>
      <c r="E6" s="14">
        <v>37.700000000000003</v>
      </c>
      <c r="F6" s="14">
        <v>37.5</v>
      </c>
      <c r="G6" s="14">
        <v>37.299999999999997</v>
      </c>
      <c r="H6" s="14">
        <v>36.5</v>
      </c>
      <c r="I6" s="14">
        <v>36.4</v>
      </c>
      <c r="J6" s="14"/>
      <c r="K6" s="14">
        <v>37.799999999999997</v>
      </c>
      <c r="L6" s="14">
        <v>37</v>
      </c>
      <c r="M6" s="14">
        <v>37.4</v>
      </c>
      <c r="N6" s="14">
        <v>36.5</v>
      </c>
      <c r="O6" s="14">
        <v>37.700000000000003</v>
      </c>
      <c r="P6" s="14">
        <v>37.6</v>
      </c>
      <c r="Q6" s="14">
        <v>37.799999999999997</v>
      </c>
      <c r="R6" s="14"/>
      <c r="S6" s="14">
        <v>36.1</v>
      </c>
      <c r="T6" s="14">
        <v>36.299999999999997</v>
      </c>
      <c r="U6" s="14">
        <v>34.9</v>
      </c>
      <c r="V6" s="14">
        <v>36.1</v>
      </c>
      <c r="W6" s="14">
        <v>34.9</v>
      </c>
      <c r="X6" s="14">
        <v>36.299999999999997</v>
      </c>
      <c r="Y6" s="14">
        <v>37</v>
      </c>
      <c r="Z6" s="14"/>
      <c r="AA6" s="14">
        <v>35.5</v>
      </c>
      <c r="AB6" s="14">
        <v>38.5</v>
      </c>
      <c r="AC6" s="14">
        <v>34.5</v>
      </c>
      <c r="AD6" s="14">
        <v>35.4</v>
      </c>
      <c r="AE6" s="14">
        <v>37.799999999999997</v>
      </c>
      <c r="AF6" s="14">
        <v>35.700000000000003</v>
      </c>
      <c r="AG6" s="14">
        <v>35</v>
      </c>
      <c r="AH6" s="14"/>
      <c r="AI6" s="14">
        <v>33.1</v>
      </c>
      <c r="AJ6" s="14">
        <v>36.700000000000003</v>
      </c>
      <c r="AK6" s="14">
        <v>34.1</v>
      </c>
      <c r="AL6" s="14">
        <v>33.5</v>
      </c>
      <c r="AM6" s="14">
        <v>36.1</v>
      </c>
      <c r="AN6" s="14">
        <v>34.5</v>
      </c>
    </row>
    <row r="7" spans="1:41" s="18" customFormat="1" x14ac:dyDescent="0.2">
      <c r="B7" s="14" t="s">
        <v>24</v>
      </c>
      <c r="C7" s="14">
        <v>35.799999999999997</v>
      </c>
      <c r="D7" s="14">
        <v>36.6</v>
      </c>
      <c r="E7" s="14">
        <v>34.5</v>
      </c>
      <c r="F7" s="14">
        <v>36.799999999999997</v>
      </c>
      <c r="G7" s="14">
        <v>36.9</v>
      </c>
      <c r="H7" s="14">
        <v>34.6</v>
      </c>
      <c r="I7" s="14">
        <v>35.4</v>
      </c>
      <c r="J7" s="14"/>
      <c r="K7" s="14">
        <v>36.700000000000003</v>
      </c>
      <c r="L7" s="14">
        <v>36.6</v>
      </c>
      <c r="M7" s="14">
        <v>36.299999999999997</v>
      </c>
      <c r="N7" s="14">
        <v>36.200000000000003</v>
      </c>
      <c r="O7" s="14">
        <v>37.299999999999997</v>
      </c>
      <c r="P7" s="14">
        <v>36.6</v>
      </c>
      <c r="Q7" s="14">
        <v>36.200000000000003</v>
      </c>
      <c r="R7" s="14"/>
      <c r="S7" s="14">
        <v>34.200000000000003</v>
      </c>
      <c r="T7" s="14">
        <v>34</v>
      </c>
      <c r="U7" s="14">
        <v>31.7</v>
      </c>
      <c r="V7" s="14">
        <v>32.4</v>
      </c>
      <c r="W7" s="14">
        <v>33.6</v>
      </c>
      <c r="X7" s="14">
        <v>34.799999999999997</v>
      </c>
      <c r="Y7" s="14">
        <v>35.4</v>
      </c>
      <c r="Z7" s="14"/>
      <c r="AA7" s="14">
        <v>30.9</v>
      </c>
      <c r="AB7" s="14">
        <v>33.200000000000003</v>
      </c>
      <c r="AC7" s="14">
        <v>30.9</v>
      </c>
      <c r="AD7" s="14">
        <v>32.5</v>
      </c>
      <c r="AE7" s="14">
        <v>33</v>
      </c>
      <c r="AF7" s="14">
        <v>32.299999999999997</v>
      </c>
      <c r="AG7" s="14">
        <v>33.700000000000003</v>
      </c>
      <c r="AH7" s="14"/>
      <c r="AI7" s="14">
        <v>29.4</v>
      </c>
      <c r="AJ7" s="14">
        <v>30.7</v>
      </c>
      <c r="AK7" s="14">
        <v>30.8</v>
      </c>
      <c r="AL7" s="14">
        <v>28</v>
      </c>
      <c r="AM7" s="14">
        <v>30.7</v>
      </c>
      <c r="AN7" s="14">
        <v>30</v>
      </c>
    </row>
    <row r="8" spans="1:41" s="18" customFormat="1" x14ac:dyDescent="0.2">
      <c r="B8" s="14" t="s">
        <v>18</v>
      </c>
      <c r="C8" s="14">
        <v>36.4</v>
      </c>
      <c r="D8" s="14">
        <v>35.6</v>
      </c>
      <c r="E8" s="14">
        <v>34.6</v>
      </c>
      <c r="F8" s="14">
        <v>37</v>
      </c>
      <c r="G8" s="14">
        <v>35.6</v>
      </c>
      <c r="H8" s="14">
        <v>34.4</v>
      </c>
      <c r="I8" s="14">
        <v>36.200000000000003</v>
      </c>
      <c r="J8" s="14"/>
      <c r="K8" s="14">
        <v>35.299999999999997</v>
      </c>
      <c r="L8" s="14">
        <v>36.5</v>
      </c>
      <c r="M8" s="14">
        <v>35.700000000000003</v>
      </c>
      <c r="N8" s="14">
        <v>35.4</v>
      </c>
      <c r="O8" s="14">
        <v>36.4</v>
      </c>
      <c r="P8" s="14">
        <v>36.299999999999997</v>
      </c>
      <c r="Q8" s="14">
        <v>36.5</v>
      </c>
      <c r="R8" s="14"/>
      <c r="S8" s="14">
        <v>33.9</v>
      </c>
      <c r="T8" s="14">
        <v>32</v>
      </c>
      <c r="U8" s="14">
        <v>30.9</v>
      </c>
      <c r="V8" s="14">
        <v>30.8</v>
      </c>
      <c r="W8" s="14">
        <v>32.299999999999997</v>
      </c>
      <c r="X8" s="14">
        <v>35.200000000000003</v>
      </c>
      <c r="Y8" s="14">
        <v>34.9</v>
      </c>
      <c r="Z8" s="14"/>
      <c r="AA8" s="14">
        <v>26.7</v>
      </c>
      <c r="AB8" s="14">
        <v>31.2</v>
      </c>
      <c r="AC8" s="14">
        <v>29.1</v>
      </c>
      <c r="AD8" s="14">
        <v>30</v>
      </c>
      <c r="AE8" s="14">
        <v>32.1</v>
      </c>
      <c r="AF8" s="14">
        <v>29.5</v>
      </c>
      <c r="AG8" s="14">
        <v>30.9</v>
      </c>
      <c r="AH8" s="14"/>
      <c r="AI8" s="14">
        <v>27.3</v>
      </c>
      <c r="AJ8" s="14">
        <v>29.1</v>
      </c>
      <c r="AK8" s="14">
        <v>29.6</v>
      </c>
      <c r="AL8" s="14"/>
      <c r="AM8" s="14">
        <v>28.2</v>
      </c>
      <c r="AN8" s="14">
        <v>26.5</v>
      </c>
    </row>
    <row r="9" spans="1:41" s="18" customFormat="1" x14ac:dyDescent="0.2">
      <c r="B9" s="14" t="s">
        <v>25</v>
      </c>
      <c r="C9" s="14">
        <v>34.9</v>
      </c>
      <c r="D9" s="14">
        <v>35.200000000000003</v>
      </c>
      <c r="E9" s="14">
        <v>35.1</v>
      </c>
      <c r="F9" s="14">
        <v>36</v>
      </c>
      <c r="G9" s="14">
        <v>35.1</v>
      </c>
      <c r="H9" s="14">
        <v>32.299999999999997</v>
      </c>
      <c r="I9" s="14">
        <v>35.799999999999997</v>
      </c>
      <c r="J9" s="14"/>
      <c r="K9" s="14">
        <v>31.2</v>
      </c>
      <c r="L9" s="14">
        <v>36.4</v>
      </c>
      <c r="M9" s="14">
        <v>33.700000000000003</v>
      </c>
      <c r="N9" s="14">
        <v>32.799999999999997</v>
      </c>
      <c r="O9" s="14">
        <v>35.5</v>
      </c>
      <c r="P9" s="14">
        <v>34</v>
      </c>
      <c r="Q9" s="14">
        <v>35.700000000000003</v>
      </c>
      <c r="R9" s="14"/>
      <c r="S9" s="14">
        <v>33</v>
      </c>
      <c r="T9" s="14">
        <v>31.3</v>
      </c>
      <c r="U9" s="14">
        <v>29.4</v>
      </c>
      <c r="V9" s="14">
        <v>28.7</v>
      </c>
      <c r="W9" s="14">
        <v>31.4</v>
      </c>
      <c r="X9" s="14">
        <v>32.9</v>
      </c>
      <c r="Y9" s="14">
        <v>33.4</v>
      </c>
      <c r="Z9" s="14"/>
      <c r="AA9" s="14"/>
      <c r="AB9" s="14">
        <v>28</v>
      </c>
      <c r="AC9" s="14">
        <v>27.1</v>
      </c>
      <c r="AD9" s="14">
        <v>28.8</v>
      </c>
      <c r="AE9" s="14">
        <v>30.5</v>
      </c>
      <c r="AF9" s="14">
        <v>27.9</v>
      </c>
      <c r="AG9" s="14">
        <v>30.2</v>
      </c>
      <c r="AH9" s="14"/>
      <c r="AI9" s="14">
        <v>27.9</v>
      </c>
      <c r="AJ9" s="14">
        <v>28.1</v>
      </c>
      <c r="AK9" s="14">
        <v>26.4</v>
      </c>
      <c r="AL9" s="14"/>
      <c r="AM9" s="14">
        <v>26.7</v>
      </c>
      <c r="AN9" s="14"/>
    </row>
    <row r="10" spans="1:41" s="18" customFormat="1" x14ac:dyDescent="0.2">
      <c r="B10" s="14" t="s">
        <v>19</v>
      </c>
      <c r="C10" s="14">
        <v>35</v>
      </c>
      <c r="D10" s="14">
        <v>36.799999999999997</v>
      </c>
      <c r="E10" s="14">
        <v>35.4</v>
      </c>
      <c r="F10" s="14">
        <v>37.1</v>
      </c>
      <c r="G10" s="14">
        <v>35</v>
      </c>
      <c r="H10" s="14">
        <v>31.2</v>
      </c>
      <c r="I10" s="14">
        <v>36</v>
      </c>
      <c r="J10" s="14"/>
      <c r="K10" s="14">
        <v>29.4</v>
      </c>
      <c r="L10" s="14">
        <v>36.299999999999997</v>
      </c>
      <c r="M10" s="14">
        <v>33.200000000000003</v>
      </c>
      <c r="N10" s="14">
        <v>31.1</v>
      </c>
      <c r="O10" s="14">
        <v>35.4</v>
      </c>
      <c r="P10" s="14">
        <v>32.299999999999997</v>
      </c>
      <c r="Q10" s="14">
        <v>34.6</v>
      </c>
      <c r="R10" s="14"/>
      <c r="S10" s="14">
        <v>33.9</v>
      </c>
      <c r="T10" s="14">
        <v>27.6</v>
      </c>
      <c r="U10" s="14">
        <v>28.4</v>
      </c>
      <c r="V10" s="14">
        <v>27.6</v>
      </c>
      <c r="W10" s="14">
        <v>29</v>
      </c>
      <c r="X10" s="14">
        <v>32.299999999999997</v>
      </c>
      <c r="Y10" s="14">
        <v>32.6</v>
      </c>
      <c r="Z10" s="14"/>
      <c r="AA10" s="14"/>
      <c r="AB10" s="14">
        <v>28</v>
      </c>
      <c r="AC10" s="14">
        <v>27.8</v>
      </c>
      <c r="AD10" s="14">
        <v>28.6</v>
      </c>
      <c r="AE10" s="14">
        <v>28.5</v>
      </c>
      <c r="AF10" s="14">
        <v>28.1</v>
      </c>
      <c r="AG10" s="14">
        <v>28.4</v>
      </c>
      <c r="AH10" s="14"/>
      <c r="AI10" s="14">
        <v>26.8</v>
      </c>
      <c r="AJ10" s="14">
        <v>27.8</v>
      </c>
      <c r="AK10" s="14"/>
      <c r="AL10" s="14"/>
      <c r="AM10" s="14"/>
      <c r="AN10" s="14"/>
    </row>
    <row r="11" spans="1:41" s="18" customFormat="1" x14ac:dyDescent="0.2">
      <c r="B11" s="14" t="s">
        <v>20</v>
      </c>
      <c r="C11" s="14">
        <v>36.200000000000003</v>
      </c>
      <c r="D11" s="14">
        <v>36.9</v>
      </c>
      <c r="E11" s="14">
        <v>35.799999999999997</v>
      </c>
      <c r="F11" s="14">
        <v>37</v>
      </c>
      <c r="G11" s="14">
        <v>36</v>
      </c>
      <c r="H11" s="14">
        <v>30.8</v>
      </c>
      <c r="I11" s="14">
        <v>36.6</v>
      </c>
      <c r="J11" s="14"/>
      <c r="K11" s="14">
        <v>28</v>
      </c>
      <c r="L11" s="14">
        <v>36.299999999999997</v>
      </c>
      <c r="M11" s="14">
        <v>31.8</v>
      </c>
      <c r="N11" s="14">
        <v>30</v>
      </c>
      <c r="O11" s="14">
        <v>35.700000000000003</v>
      </c>
      <c r="P11" s="14">
        <v>33.4</v>
      </c>
      <c r="Q11" s="14">
        <v>36.200000000000003</v>
      </c>
      <c r="R11" s="14"/>
      <c r="S11" s="14">
        <v>35.5</v>
      </c>
      <c r="T11" s="14">
        <v>27.2</v>
      </c>
      <c r="U11" s="14">
        <v>27.8</v>
      </c>
      <c r="V11" s="14">
        <v>27.1</v>
      </c>
      <c r="W11" s="14">
        <v>27.4</v>
      </c>
      <c r="X11" s="14">
        <v>34.200000000000003</v>
      </c>
      <c r="Y11" s="14">
        <v>34.6</v>
      </c>
      <c r="Z11" s="14"/>
      <c r="AA11" s="14"/>
      <c r="AB11" s="14">
        <v>27.3</v>
      </c>
      <c r="AC11" s="14">
        <v>27.4</v>
      </c>
      <c r="AD11" s="14">
        <v>27.4</v>
      </c>
      <c r="AE11" s="14">
        <v>27.4</v>
      </c>
      <c r="AF11" s="14">
        <v>27</v>
      </c>
      <c r="AG11" s="14">
        <v>27.4</v>
      </c>
      <c r="AH11" s="14"/>
      <c r="AI11" s="14"/>
      <c r="AJ11" s="14">
        <v>27.6</v>
      </c>
      <c r="AK11" s="14"/>
      <c r="AL11" s="14"/>
      <c r="AM11" s="14"/>
      <c r="AN11" s="14"/>
    </row>
    <row r="12" spans="1:41" x14ac:dyDescent="0.2">
      <c r="C12" s="11"/>
      <c r="D12" s="11"/>
      <c r="E12" s="11"/>
      <c r="F12" s="11"/>
      <c r="G12" s="11"/>
      <c r="H12" s="11"/>
      <c r="I12" s="11"/>
    </row>
    <row r="17" spans="1:7" ht="15.75" x14ac:dyDescent="0.25">
      <c r="A17" s="9" t="s">
        <v>26</v>
      </c>
      <c r="B17" s="9"/>
      <c r="C17" s="9"/>
      <c r="D17" s="9"/>
      <c r="E17" s="9"/>
      <c r="F17" s="9"/>
      <c r="G17" s="9"/>
    </row>
    <row r="18" spans="1:7" ht="15.75" x14ac:dyDescent="0.25">
      <c r="A18" s="9" t="s">
        <v>27</v>
      </c>
      <c r="B18" s="10"/>
      <c r="C18" s="10" t="s">
        <v>5</v>
      </c>
      <c r="D18" s="10" t="s">
        <v>6</v>
      </c>
      <c r="E18" s="10" t="s">
        <v>7</v>
      </c>
      <c r="F18" s="10" t="s">
        <v>3</v>
      </c>
      <c r="G18" s="10" t="s">
        <v>4</v>
      </c>
    </row>
    <row r="19" spans="1:7" x14ac:dyDescent="0.2">
      <c r="B19" s="11">
        <v>0</v>
      </c>
      <c r="C19" s="11">
        <v>0</v>
      </c>
      <c r="D19" s="11"/>
      <c r="E19" s="11"/>
      <c r="F19" s="11"/>
      <c r="G19" s="11"/>
    </row>
    <row r="20" spans="1:7" x14ac:dyDescent="0.2">
      <c r="B20" s="11">
        <v>1</v>
      </c>
      <c r="C20" s="11">
        <v>0</v>
      </c>
      <c r="D20" s="11"/>
      <c r="E20" s="11"/>
      <c r="F20" s="11"/>
      <c r="G20" s="11"/>
    </row>
    <row r="21" spans="1:7" x14ac:dyDescent="0.2">
      <c r="B21" s="11">
        <v>2</v>
      </c>
      <c r="C21" s="11">
        <v>0</v>
      </c>
      <c r="D21" s="11"/>
      <c r="E21" s="11"/>
      <c r="F21" s="11"/>
      <c r="G21" s="11"/>
    </row>
    <row r="22" spans="1:7" x14ac:dyDescent="0.2">
      <c r="B22" s="11">
        <v>3</v>
      </c>
      <c r="C22" s="11">
        <v>0</v>
      </c>
      <c r="D22" s="11"/>
      <c r="E22" s="11"/>
      <c r="F22" s="11"/>
      <c r="G22" s="11"/>
    </row>
    <row r="23" spans="1:7" x14ac:dyDescent="0.2">
      <c r="B23" s="11">
        <v>4</v>
      </c>
      <c r="C23" s="11">
        <v>0</v>
      </c>
      <c r="D23" s="11"/>
      <c r="E23" s="11"/>
      <c r="F23" s="11"/>
      <c r="G23" s="11"/>
    </row>
    <row r="24" spans="1:7" x14ac:dyDescent="0.2">
      <c r="B24" s="11">
        <v>5</v>
      </c>
      <c r="C24" s="11">
        <v>0</v>
      </c>
      <c r="D24" s="11"/>
      <c r="E24" s="11"/>
      <c r="F24" s="11"/>
      <c r="G24" s="11"/>
    </row>
    <row r="25" spans="1:7" x14ac:dyDescent="0.2">
      <c r="B25" s="11">
        <v>6</v>
      </c>
      <c r="C25" s="11">
        <v>0</v>
      </c>
      <c r="D25" s="11"/>
      <c r="E25" s="11"/>
      <c r="F25" s="11"/>
      <c r="G25" s="11"/>
    </row>
    <row r="26" spans="1:7" x14ac:dyDescent="0.2">
      <c r="B26" s="19">
        <v>0</v>
      </c>
      <c r="C26" s="19"/>
      <c r="D26" s="19">
        <v>0</v>
      </c>
      <c r="E26" s="11"/>
      <c r="F26" s="11"/>
      <c r="G26" s="11"/>
    </row>
    <row r="27" spans="1:7" x14ac:dyDescent="0.2">
      <c r="B27" s="19">
        <v>1</v>
      </c>
      <c r="C27" s="19"/>
      <c r="D27" s="19">
        <v>0</v>
      </c>
      <c r="E27" s="11"/>
      <c r="F27" s="11"/>
      <c r="G27" s="11"/>
    </row>
    <row r="28" spans="1:7" x14ac:dyDescent="0.2">
      <c r="B28" s="19">
        <v>2</v>
      </c>
      <c r="C28" s="19"/>
      <c r="D28" s="19">
        <v>0</v>
      </c>
      <c r="E28" s="11"/>
      <c r="F28" s="11"/>
      <c r="G28" s="11"/>
    </row>
    <row r="29" spans="1:7" x14ac:dyDescent="0.2">
      <c r="B29" s="19">
        <v>3</v>
      </c>
      <c r="C29" s="19"/>
      <c r="D29" s="19">
        <v>0</v>
      </c>
      <c r="E29" s="11"/>
      <c r="F29" s="11"/>
      <c r="G29" s="11"/>
    </row>
    <row r="30" spans="1:7" x14ac:dyDescent="0.2">
      <c r="B30" s="19">
        <v>4</v>
      </c>
      <c r="C30" s="19"/>
      <c r="D30" s="19">
        <v>0</v>
      </c>
      <c r="E30" s="11"/>
      <c r="F30" s="11"/>
      <c r="G30" s="11"/>
    </row>
    <row r="31" spans="1:7" x14ac:dyDescent="0.2">
      <c r="B31" s="19">
        <v>5</v>
      </c>
      <c r="C31" s="19"/>
      <c r="D31" s="19">
        <v>0</v>
      </c>
      <c r="E31" s="11"/>
      <c r="F31" s="11"/>
      <c r="G31" s="11"/>
    </row>
    <row r="32" spans="1:7" x14ac:dyDescent="0.2">
      <c r="B32" s="19">
        <v>6</v>
      </c>
      <c r="C32" s="19"/>
      <c r="D32" s="19">
        <v>0</v>
      </c>
      <c r="E32" s="11"/>
      <c r="F32" s="11"/>
      <c r="G32" s="11"/>
    </row>
    <row r="33" spans="2:7" x14ac:dyDescent="0.2">
      <c r="B33" s="20">
        <v>0</v>
      </c>
      <c r="C33" s="20"/>
      <c r="D33" s="20"/>
      <c r="E33" s="20">
        <v>0</v>
      </c>
      <c r="F33" s="11"/>
      <c r="G33" s="11"/>
    </row>
    <row r="34" spans="2:7" x14ac:dyDescent="0.2">
      <c r="B34" s="20">
        <v>1</v>
      </c>
      <c r="C34" s="20"/>
      <c r="D34" s="20"/>
      <c r="E34" s="20">
        <v>0</v>
      </c>
      <c r="F34" s="11"/>
      <c r="G34" s="11"/>
    </row>
    <row r="35" spans="2:7" x14ac:dyDescent="0.2">
      <c r="B35" s="20">
        <v>2</v>
      </c>
      <c r="C35" s="20"/>
      <c r="D35" s="20"/>
      <c r="E35" s="20">
        <v>0</v>
      </c>
      <c r="F35" s="11"/>
      <c r="G35" s="11"/>
    </row>
    <row r="36" spans="2:7" x14ac:dyDescent="0.2">
      <c r="B36" s="20">
        <v>3</v>
      </c>
      <c r="C36" s="20"/>
      <c r="D36" s="20"/>
      <c r="E36" s="20">
        <v>0</v>
      </c>
      <c r="F36" s="11"/>
      <c r="G36" s="11"/>
    </row>
    <row r="37" spans="2:7" x14ac:dyDescent="0.2">
      <c r="B37" s="20">
        <v>4</v>
      </c>
      <c r="C37" s="20"/>
      <c r="D37" s="20"/>
      <c r="E37" s="20">
        <v>0</v>
      </c>
      <c r="F37" s="11"/>
      <c r="G37" s="11"/>
    </row>
    <row r="38" spans="2:7" x14ac:dyDescent="0.2">
      <c r="B38" s="20">
        <v>5</v>
      </c>
      <c r="C38" s="20"/>
      <c r="D38" s="20"/>
      <c r="E38" s="20">
        <v>0</v>
      </c>
      <c r="F38" s="11"/>
      <c r="G38" s="11"/>
    </row>
    <row r="39" spans="2:7" x14ac:dyDescent="0.2">
      <c r="B39" s="20">
        <v>6</v>
      </c>
      <c r="C39" s="20"/>
      <c r="D39" s="20"/>
      <c r="E39" s="20">
        <v>0</v>
      </c>
      <c r="F39" s="11"/>
      <c r="G39" s="11"/>
    </row>
    <row r="40" spans="2:7" x14ac:dyDescent="0.2">
      <c r="B40" s="21">
        <v>4</v>
      </c>
      <c r="C40" s="21"/>
      <c r="D40" s="21"/>
      <c r="E40" s="21"/>
      <c r="F40" s="21">
        <v>1</v>
      </c>
      <c r="G40" s="11"/>
    </row>
    <row r="41" spans="2:7" x14ac:dyDescent="0.2">
      <c r="B41" s="21">
        <v>6</v>
      </c>
      <c r="C41" s="21"/>
      <c r="D41" s="21"/>
      <c r="E41" s="21"/>
      <c r="F41" s="21">
        <v>0</v>
      </c>
      <c r="G41" s="11"/>
    </row>
    <row r="42" spans="2:7" x14ac:dyDescent="0.2">
      <c r="B42" s="21">
        <v>6</v>
      </c>
      <c r="C42" s="21"/>
      <c r="D42" s="21"/>
      <c r="E42" s="21"/>
      <c r="F42" s="21">
        <v>0</v>
      </c>
      <c r="G42" s="11"/>
    </row>
    <row r="43" spans="2:7" x14ac:dyDescent="0.2">
      <c r="B43" s="21">
        <v>6</v>
      </c>
      <c r="C43" s="21"/>
      <c r="D43" s="21"/>
      <c r="E43" s="21"/>
      <c r="F43" s="21">
        <v>0</v>
      </c>
      <c r="G43" s="11"/>
    </row>
    <row r="44" spans="2:7" x14ac:dyDescent="0.2">
      <c r="B44" s="21">
        <v>6</v>
      </c>
      <c r="C44" s="21"/>
      <c r="D44" s="21"/>
      <c r="E44" s="21"/>
      <c r="F44" s="21">
        <v>0</v>
      </c>
      <c r="G44" s="11"/>
    </row>
    <row r="45" spans="2:7" x14ac:dyDescent="0.2">
      <c r="B45" s="21">
        <v>6</v>
      </c>
      <c r="C45" s="21"/>
      <c r="D45" s="21"/>
      <c r="E45" s="21"/>
      <c r="F45" s="21">
        <v>0</v>
      </c>
      <c r="G45" s="11"/>
    </row>
    <row r="46" spans="2:7" x14ac:dyDescent="0.2">
      <c r="B46" s="21">
        <v>6</v>
      </c>
      <c r="C46" s="21"/>
      <c r="D46" s="21"/>
      <c r="E46" s="21"/>
      <c r="F46" s="21">
        <v>0</v>
      </c>
      <c r="G46" s="11"/>
    </row>
    <row r="47" spans="2:7" x14ac:dyDescent="0.2">
      <c r="B47" s="22">
        <v>3</v>
      </c>
      <c r="C47" s="22"/>
      <c r="D47" s="22"/>
      <c r="E47" s="22"/>
      <c r="F47" s="22"/>
      <c r="G47" s="22">
        <v>1</v>
      </c>
    </row>
    <row r="48" spans="2:7" x14ac:dyDescent="0.2">
      <c r="B48" s="22">
        <v>4</v>
      </c>
      <c r="C48" s="22"/>
      <c r="D48" s="22"/>
      <c r="E48" s="22"/>
      <c r="F48" s="22"/>
      <c r="G48" s="22">
        <v>1</v>
      </c>
    </row>
    <row r="49" spans="1:7" x14ac:dyDescent="0.2">
      <c r="B49" s="22">
        <v>5</v>
      </c>
      <c r="C49" s="22"/>
      <c r="D49" s="22"/>
      <c r="E49" s="22"/>
      <c r="F49" s="22"/>
      <c r="G49" s="22">
        <v>1</v>
      </c>
    </row>
    <row r="50" spans="1:7" x14ac:dyDescent="0.2">
      <c r="B50" s="22">
        <v>5</v>
      </c>
      <c r="C50" s="22"/>
      <c r="D50" s="22"/>
      <c r="E50" s="22"/>
      <c r="F50" s="22"/>
      <c r="G50" s="22">
        <v>1</v>
      </c>
    </row>
    <row r="51" spans="1:7" x14ac:dyDescent="0.2">
      <c r="B51" s="22">
        <v>6</v>
      </c>
      <c r="C51" s="22"/>
      <c r="D51" s="22"/>
      <c r="E51" s="22"/>
      <c r="F51" s="22"/>
      <c r="G51" s="22">
        <v>1</v>
      </c>
    </row>
    <row r="52" spans="1:7" x14ac:dyDescent="0.2">
      <c r="B52" s="22">
        <v>6</v>
      </c>
      <c r="C52" s="22"/>
      <c r="D52" s="22"/>
      <c r="E52" s="22"/>
      <c r="F52" s="22"/>
      <c r="G52" s="22">
        <v>0</v>
      </c>
    </row>
    <row r="55" spans="1:7" s="9" customFormat="1" ht="15.75" x14ac:dyDescent="0.25">
      <c r="A55" s="9" t="s">
        <v>165</v>
      </c>
      <c r="B55" s="10" t="s">
        <v>5</v>
      </c>
      <c r="C55" s="10" t="s">
        <v>6</v>
      </c>
      <c r="D55" s="10" t="s">
        <v>7</v>
      </c>
      <c r="E55" s="10" t="s">
        <v>3</v>
      </c>
      <c r="F55" s="10" t="s">
        <v>4</v>
      </c>
    </row>
    <row r="56" spans="1:7" x14ac:dyDescent="0.2">
      <c r="A56" s="8" t="s">
        <v>29</v>
      </c>
      <c r="B56" s="14">
        <v>0</v>
      </c>
      <c r="C56" s="14">
        <v>0</v>
      </c>
      <c r="D56" s="14">
        <v>49.55</v>
      </c>
      <c r="E56" s="14">
        <v>168.494</v>
      </c>
      <c r="F56" s="14">
        <v>412.649</v>
      </c>
    </row>
    <row r="57" spans="1:7" x14ac:dyDescent="0.2">
      <c r="B57" s="14">
        <v>0</v>
      </c>
      <c r="C57" s="14">
        <v>0</v>
      </c>
      <c r="D57" s="14">
        <v>25.623999999999999</v>
      </c>
      <c r="E57" s="14">
        <v>166.227</v>
      </c>
      <c r="F57" s="14">
        <v>205.83199999999999</v>
      </c>
    </row>
    <row r="58" spans="1:7" x14ac:dyDescent="0.2">
      <c r="B58" s="14">
        <v>0</v>
      </c>
      <c r="C58" s="14">
        <v>0</v>
      </c>
      <c r="D58" s="14">
        <v>66.147999999999996</v>
      </c>
      <c r="E58" s="14">
        <v>273.05500000000001</v>
      </c>
      <c r="F58" s="14">
        <v>423.45800000000003</v>
      </c>
    </row>
    <row r="59" spans="1:7" x14ac:dyDescent="0.2">
      <c r="B59" s="14">
        <v>0</v>
      </c>
      <c r="C59" s="14">
        <v>0</v>
      </c>
      <c r="D59" s="14">
        <v>217.00899999999999</v>
      </c>
      <c r="E59" s="14">
        <v>410.17500000000001</v>
      </c>
      <c r="F59" s="14">
        <v>331.53199999999998</v>
      </c>
    </row>
    <row r="60" spans="1:7" x14ac:dyDescent="0.2">
      <c r="B60" s="14">
        <v>0</v>
      </c>
      <c r="C60" s="14">
        <v>0</v>
      </c>
      <c r="D60" s="14">
        <v>26.515000000000001</v>
      </c>
      <c r="E60" s="14">
        <v>122.815</v>
      </c>
      <c r="F60" s="14">
        <v>575.399</v>
      </c>
    </row>
    <row r="61" spans="1:7" x14ac:dyDescent="0.2">
      <c r="B61" s="14">
        <v>0</v>
      </c>
      <c r="C61" s="14">
        <v>0</v>
      </c>
      <c r="D61" s="14">
        <v>44.656999999999996</v>
      </c>
      <c r="E61" s="14">
        <v>260.66399999999999</v>
      </c>
      <c r="F61" s="14">
        <v>636.79100000000005</v>
      </c>
    </row>
    <row r="62" spans="1:7" x14ac:dyDescent="0.2">
      <c r="B62" s="14">
        <v>0</v>
      </c>
      <c r="C62" s="14">
        <v>0</v>
      </c>
      <c r="D62" s="14">
        <v>80.900000000000006</v>
      </c>
      <c r="E62" s="14">
        <v>152.215</v>
      </c>
      <c r="F62" s="14">
        <v>248.191</v>
      </c>
    </row>
    <row r="63" spans="1:7" x14ac:dyDescent="0.2">
      <c r="B63" s="18"/>
      <c r="C63" s="18"/>
      <c r="D63" s="18"/>
      <c r="E63" s="18"/>
      <c r="F63" s="18"/>
    </row>
    <row r="64" spans="1:7" s="7" customFormat="1" ht="15.75" x14ac:dyDescent="0.25">
      <c r="A64" s="23" t="s">
        <v>63</v>
      </c>
      <c r="B64" s="23">
        <f>AVERAGE(B56:B62)</f>
        <v>0</v>
      </c>
      <c r="C64" s="23">
        <f>AVERAGE(C56:C62)</f>
        <v>0</v>
      </c>
      <c r="D64" s="23">
        <f>AVERAGE(D56:D62)</f>
        <v>72.914714285714282</v>
      </c>
      <c r="E64" s="23">
        <f>AVERAGE(E56:E62)</f>
        <v>221.94928571428571</v>
      </c>
      <c r="F64" s="23">
        <f>AVERAGE(F56:F62)</f>
        <v>404.83599999999996</v>
      </c>
    </row>
    <row r="67" spans="1:6" s="9" customFormat="1" ht="18.75" x14ac:dyDescent="0.35">
      <c r="A67" s="9" t="s">
        <v>169</v>
      </c>
      <c r="B67" s="10" t="s">
        <v>5</v>
      </c>
      <c r="C67" s="10" t="s">
        <v>6</v>
      </c>
      <c r="D67" s="10" t="s">
        <v>7</v>
      </c>
      <c r="E67" s="10" t="s">
        <v>3</v>
      </c>
      <c r="F67" s="10" t="s">
        <v>4</v>
      </c>
    </row>
    <row r="68" spans="1:6" x14ac:dyDescent="0.2">
      <c r="A68" s="8" t="s">
        <v>28</v>
      </c>
      <c r="B68" s="11">
        <v>6.4578100000000003</v>
      </c>
      <c r="C68" s="11">
        <v>3.0682900000000002</v>
      </c>
      <c r="D68" s="11">
        <v>7.1817659999999997</v>
      </c>
      <c r="E68" s="11">
        <v>20.762979999999999</v>
      </c>
      <c r="F68" s="11">
        <v>97.824259999999995</v>
      </c>
    </row>
    <row r="69" spans="1:6" x14ac:dyDescent="0.2">
      <c r="B69" s="11">
        <v>3.368865</v>
      </c>
      <c r="C69" s="11">
        <v>3.1633100000000001</v>
      </c>
      <c r="D69" s="11">
        <v>0.96550400000000003</v>
      </c>
      <c r="E69" s="11">
        <v>12.65324</v>
      </c>
      <c r="F69" s="11">
        <v>120.4228</v>
      </c>
    </row>
    <row r="70" spans="1:6" x14ac:dyDescent="0.2">
      <c r="B70" s="11">
        <v>4.7630920000000003</v>
      </c>
      <c r="C70" s="11">
        <v>11.42423</v>
      </c>
      <c r="D70" s="11">
        <v>2.891956</v>
      </c>
      <c r="E70" s="11">
        <v>22.76652</v>
      </c>
      <c r="F70" s="11">
        <v>136.31899999999999</v>
      </c>
    </row>
    <row r="71" spans="1:6" x14ac:dyDescent="0.2">
      <c r="B71" s="11">
        <v>1.7189380000000001</v>
      </c>
      <c r="C71" s="11">
        <v>3.1154389999999998</v>
      </c>
      <c r="D71" s="11">
        <v>8.8555820000000001</v>
      </c>
      <c r="E71" s="11">
        <v>74.004260000000002</v>
      </c>
      <c r="F71" s="11">
        <v>122.2431</v>
      </c>
    </row>
    <row r="72" spans="1:6" x14ac:dyDescent="0.2">
      <c r="B72" s="11">
        <v>5.3087099999999996</v>
      </c>
      <c r="C72" s="11">
        <v>3.4245489999999998</v>
      </c>
      <c r="D72" s="11">
        <v>1.526152</v>
      </c>
      <c r="E72" s="11">
        <v>6.0630480000000002</v>
      </c>
      <c r="F72" s="11">
        <v>104.2843</v>
      </c>
    </row>
    <row r="73" spans="1:6" x14ac:dyDescent="0.2">
      <c r="B73" s="11">
        <v>5.1907449999999997</v>
      </c>
      <c r="C73" s="11">
        <v>6.6322450000000002</v>
      </c>
      <c r="D73" s="11">
        <v>6.252936</v>
      </c>
      <c r="E73" s="11">
        <v>64.202479999999994</v>
      </c>
      <c r="F73" s="11">
        <v>157.8443</v>
      </c>
    </row>
    <row r="74" spans="1:6" x14ac:dyDescent="0.2">
      <c r="B74" s="11">
        <v>10.50512</v>
      </c>
      <c r="C74" s="11">
        <v>10.946949999999999</v>
      </c>
      <c r="D74" s="11">
        <v>5.9415880000000003</v>
      </c>
      <c r="E74" s="11">
        <v>76.222499999999997</v>
      </c>
      <c r="F74" s="11">
        <v>126.29</v>
      </c>
    </row>
    <row r="76" spans="1:6" ht="15.75" x14ac:dyDescent="0.25">
      <c r="A76" s="23" t="s">
        <v>88</v>
      </c>
      <c r="B76" s="7">
        <f>AVERAGE(B68:B74)</f>
        <v>5.3304685714285709</v>
      </c>
      <c r="C76" s="7">
        <f>AVERAGE(C68:C74)</f>
        <v>5.9678589999999998</v>
      </c>
      <c r="D76" s="7">
        <f>AVERAGE(D68:D74)</f>
        <v>4.8022119999999999</v>
      </c>
      <c r="E76" s="7">
        <f>AVERAGE(E68:E74)</f>
        <v>39.525004000000003</v>
      </c>
      <c r="F76" s="7">
        <f>AVERAGE(F68:F74)</f>
        <v>123.60396571428571</v>
      </c>
    </row>
    <row r="77" spans="1:6" ht="15.75" x14ac:dyDescent="0.25">
      <c r="A77" s="23"/>
    </row>
    <row r="79" spans="1:6" s="9" customFormat="1" ht="15.75" x14ac:dyDescent="0.25">
      <c r="A79" s="9" t="s">
        <v>30</v>
      </c>
      <c r="B79" s="10" t="s">
        <v>5</v>
      </c>
      <c r="C79" s="10" t="s">
        <v>6</v>
      </c>
      <c r="D79" s="10" t="s">
        <v>7</v>
      </c>
      <c r="E79" s="10" t="s">
        <v>3</v>
      </c>
      <c r="F79" s="10" t="s">
        <v>4</v>
      </c>
    </row>
    <row r="80" spans="1:6" x14ac:dyDescent="0.2">
      <c r="A80" s="8" t="s">
        <v>44</v>
      </c>
      <c r="B80" s="14">
        <v>2424</v>
      </c>
      <c r="C80" s="14">
        <v>949</v>
      </c>
      <c r="D80" s="14">
        <v>4929</v>
      </c>
      <c r="E80" s="14">
        <v>5262</v>
      </c>
      <c r="F80" s="14">
        <v>2861</v>
      </c>
    </row>
    <row r="81" spans="1:22" x14ac:dyDescent="0.2">
      <c r="B81" s="14">
        <v>5758</v>
      </c>
      <c r="C81" s="14">
        <v>4653</v>
      </c>
      <c r="D81" s="14">
        <v>3275</v>
      </c>
      <c r="E81" s="14">
        <v>4409</v>
      </c>
      <c r="F81" s="14">
        <v>5123</v>
      </c>
    </row>
    <row r="82" spans="1:22" x14ac:dyDescent="0.2">
      <c r="B82" s="14">
        <v>4779</v>
      </c>
      <c r="C82" s="14">
        <v>3859</v>
      </c>
      <c r="D82" s="14">
        <v>4706</v>
      </c>
      <c r="E82" s="14">
        <v>5890</v>
      </c>
      <c r="F82" s="14">
        <v>4574</v>
      </c>
    </row>
    <row r="83" spans="1:22" x14ac:dyDescent="0.2">
      <c r="B83" s="14">
        <v>3277</v>
      </c>
      <c r="C83" s="14">
        <v>7021</v>
      </c>
      <c r="D83" s="14">
        <v>5960</v>
      </c>
      <c r="E83" s="14">
        <v>11692</v>
      </c>
      <c r="F83" s="14">
        <v>7855</v>
      </c>
    </row>
    <row r="84" spans="1:22" x14ac:dyDescent="0.2">
      <c r="B84" s="14">
        <v>6525</v>
      </c>
      <c r="C84" s="14">
        <v>4468</v>
      </c>
      <c r="D84" s="14">
        <v>3443</v>
      </c>
      <c r="E84" s="14">
        <v>4971</v>
      </c>
      <c r="F84" s="14">
        <v>8523</v>
      </c>
    </row>
    <row r="85" spans="1:22" x14ac:dyDescent="0.2">
      <c r="B85" s="14">
        <v>2398</v>
      </c>
      <c r="C85" s="14">
        <v>5560</v>
      </c>
      <c r="D85" s="14">
        <v>4713</v>
      </c>
      <c r="E85" s="14">
        <v>2993</v>
      </c>
      <c r="F85" s="14">
        <v>3542</v>
      </c>
    </row>
    <row r="86" spans="1:22" x14ac:dyDescent="0.2">
      <c r="B86" s="14">
        <v>3965</v>
      </c>
      <c r="C86" s="14">
        <v>3337</v>
      </c>
      <c r="D86" s="14">
        <v>6023</v>
      </c>
      <c r="E86" s="14">
        <v>2159</v>
      </c>
      <c r="F86" s="14">
        <v>5553</v>
      </c>
    </row>
    <row r="87" spans="1:22" x14ac:dyDescent="0.2">
      <c r="B87" s="18"/>
      <c r="C87" s="18"/>
      <c r="D87" s="18"/>
      <c r="E87" s="18"/>
      <c r="F87" s="18"/>
    </row>
    <row r="88" spans="1:22" ht="15.75" x14ac:dyDescent="0.25">
      <c r="A88" s="23" t="s">
        <v>63</v>
      </c>
      <c r="B88" s="23">
        <f>AVERAGE(B80:B86)</f>
        <v>4160.8571428571431</v>
      </c>
      <c r="C88" s="23">
        <f>AVERAGE(C80:C86)</f>
        <v>4263.8571428571431</v>
      </c>
      <c r="D88" s="23">
        <f>AVERAGE(D80:D86)</f>
        <v>4721.2857142857147</v>
      </c>
      <c r="E88" s="23">
        <f>AVERAGE(E80:E86)</f>
        <v>5339.4285714285716</v>
      </c>
      <c r="F88" s="23">
        <f>AVERAGE(F80:F86)</f>
        <v>5433</v>
      </c>
    </row>
    <row r="89" spans="1:22" ht="18" x14ac:dyDescent="0.2">
      <c r="A89" s="8" t="s">
        <v>170</v>
      </c>
      <c r="B89" s="18">
        <v>4.16</v>
      </c>
      <c r="C89" s="18">
        <v>4.26</v>
      </c>
      <c r="D89" s="18">
        <v>4.42</v>
      </c>
      <c r="E89" s="18">
        <v>5.34</v>
      </c>
      <c r="F89" s="18">
        <v>5.4</v>
      </c>
    </row>
    <row r="92" spans="1:22" s="9" customFormat="1" ht="15.75" x14ac:dyDescent="0.25">
      <c r="A92" s="9" t="s">
        <v>166</v>
      </c>
      <c r="B92" s="10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</row>
    <row r="93" spans="1:22" s="9" customFormat="1" ht="15.75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s="9" customFormat="1" ht="15.75" x14ac:dyDescent="0.25">
      <c r="B94" s="10" t="s">
        <v>79</v>
      </c>
      <c r="C94" s="43" t="s">
        <v>0</v>
      </c>
      <c r="D94" s="43"/>
      <c r="E94" s="43"/>
      <c r="F94" s="43"/>
      <c r="H94" s="24" t="s">
        <v>171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x14ac:dyDescent="0.2">
      <c r="A95" s="8" t="s">
        <v>44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H95" s="11">
        <f>AVERAGE(C95:F95)</f>
        <v>0</v>
      </c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x14ac:dyDescent="0.2">
      <c r="A96" s="8" t="s">
        <v>32</v>
      </c>
      <c r="B96" s="11">
        <v>1</v>
      </c>
      <c r="C96" s="11">
        <v>0.89</v>
      </c>
      <c r="D96" s="11">
        <v>9.43</v>
      </c>
      <c r="E96" s="11">
        <v>4.49</v>
      </c>
      <c r="F96" s="11">
        <v>17.059999999999999</v>
      </c>
      <c r="H96" s="11">
        <f>AVERAGE(C96:F96)</f>
        <v>7.9674999999999994</v>
      </c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2:22" x14ac:dyDescent="0.2">
      <c r="B97" s="11">
        <v>10</v>
      </c>
      <c r="C97" s="11">
        <v>13.23</v>
      </c>
      <c r="D97" s="11">
        <v>27.58</v>
      </c>
      <c r="E97" s="11">
        <v>14.1</v>
      </c>
      <c r="F97" s="11">
        <v>4.5999999999999996</v>
      </c>
      <c r="H97" s="11">
        <f>AVERAGE(C97:F97)</f>
        <v>14.877500000000001</v>
      </c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2:22" x14ac:dyDescent="0.2">
      <c r="B98" s="11">
        <v>100</v>
      </c>
      <c r="C98" s="11">
        <v>33.590000000000003</v>
      </c>
      <c r="D98" s="11">
        <v>56.96</v>
      </c>
      <c r="E98" s="11">
        <v>33.71</v>
      </c>
      <c r="F98" s="11">
        <v>34.17</v>
      </c>
      <c r="H98" s="11">
        <f>AVERAGE(C98:F98)</f>
        <v>39.607500000000002</v>
      </c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2:22" x14ac:dyDescent="0.2">
      <c r="B99" s="11">
        <v>1000</v>
      </c>
      <c r="C99" s="11">
        <v>19.72</v>
      </c>
      <c r="D99" s="11">
        <v>55.01</v>
      </c>
      <c r="E99" s="11">
        <v>23.54</v>
      </c>
      <c r="F99" s="11">
        <v>50.41</v>
      </c>
      <c r="H99" s="11">
        <f>AVERAGE(C99:F99)</f>
        <v>37.169999999999995</v>
      </c>
    </row>
    <row r="101" spans="2:22" ht="15.75" x14ac:dyDescent="0.25">
      <c r="C101" s="43" t="s">
        <v>1</v>
      </c>
      <c r="D101" s="43"/>
      <c r="E101" s="43"/>
      <c r="F101" s="43"/>
    </row>
    <row r="102" spans="2:22" x14ac:dyDescent="0.2">
      <c r="B102" s="11">
        <v>0</v>
      </c>
      <c r="C102" s="11">
        <v>0</v>
      </c>
      <c r="D102" s="11">
        <v>0</v>
      </c>
      <c r="E102" s="11">
        <v>4.1900000000000004</v>
      </c>
      <c r="F102" s="11">
        <v>0</v>
      </c>
      <c r="H102" s="11">
        <f>AVERAGE(C102:F102)</f>
        <v>1.0475000000000001</v>
      </c>
    </row>
    <row r="103" spans="2:22" x14ac:dyDescent="0.2">
      <c r="B103" s="11">
        <v>1</v>
      </c>
      <c r="C103" s="11">
        <v>124.37</v>
      </c>
      <c r="D103" s="11">
        <v>202.5</v>
      </c>
      <c r="E103" s="11">
        <v>253.18</v>
      </c>
      <c r="F103" s="11">
        <v>111.8</v>
      </c>
      <c r="H103" s="11">
        <f>AVERAGE(C103:F103)</f>
        <v>172.96249999999998</v>
      </c>
    </row>
    <row r="104" spans="2:22" x14ac:dyDescent="0.2">
      <c r="B104" s="11">
        <v>10</v>
      </c>
      <c r="C104" s="11">
        <v>145.9</v>
      </c>
      <c r="D104" s="11">
        <v>216.32</v>
      </c>
      <c r="E104" s="11">
        <v>243.88</v>
      </c>
      <c r="F104" s="11">
        <v>110.42</v>
      </c>
      <c r="H104" s="11">
        <f>AVERAGE(C104:F104)</f>
        <v>179.13</v>
      </c>
    </row>
    <row r="105" spans="2:22" x14ac:dyDescent="0.2">
      <c r="B105" s="11">
        <v>100</v>
      </c>
      <c r="C105" s="11">
        <v>201.92</v>
      </c>
      <c r="D105" s="11">
        <v>249.97</v>
      </c>
      <c r="E105" s="11">
        <v>346.49</v>
      </c>
      <c r="F105" s="11">
        <v>164.1</v>
      </c>
      <c r="H105" s="11">
        <f>AVERAGE(C105:F105)</f>
        <v>240.62</v>
      </c>
    </row>
    <row r="106" spans="2:22" x14ac:dyDescent="0.2">
      <c r="B106" s="11">
        <v>1000</v>
      </c>
      <c r="C106" s="11">
        <v>180.82</v>
      </c>
      <c r="D106" s="11">
        <v>216.27</v>
      </c>
      <c r="E106" s="11">
        <v>353.95</v>
      </c>
      <c r="F106" s="11">
        <v>179.58</v>
      </c>
      <c r="H106" s="11">
        <f>AVERAGE(C106:F106)</f>
        <v>232.655</v>
      </c>
    </row>
    <row r="107" spans="2:22" x14ac:dyDescent="0.2">
      <c r="B107" s="11"/>
      <c r="C107" s="11"/>
      <c r="D107" s="11"/>
      <c r="E107" s="11"/>
    </row>
    <row r="108" spans="2:22" ht="15.75" x14ac:dyDescent="0.25">
      <c r="C108" s="43" t="s">
        <v>7</v>
      </c>
      <c r="D108" s="43"/>
      <c r="E108" s="43"/>
      <c r="F108" s="43"/>
    </row>
    <row r="109" spans="2:22" x14ac:dyDescent="0.2">
      <c r="B109" s="11">
        <v>0</v>
      </c>
      <c r="C109" s="11">
        <v>14.92</v>
      </c>
      <c r="D109" s="11">
        <v>1.57</v>
      </c>
      <c r="E109" s="11">
        <v>0.36</v>
      </c>
      <c r="F109" s="11">
        <v>0</v>
      </c>
      <c r="H109" s="11">
        <f>AVERAGE(C109:F109)</f>
        <v>4.2124999999999995</v>
      </c>
    </row>
    <row r="110" spans="2:22" x14ac:dyDescent="0.2">
      <c r="B110" s="11">
        <v>1</v>
      </c>
      <c r="C110" s="11">
        <v>1639.95</v>
      </c>
      <c r="D110" s="11">
        <v>1624.9</v>
      </c>
      <c r="E110" s="11">
        <v>1565.2</v>
      </c>
      <c r="F110" s="11">
        <v>2249.3000000000002</v>
      </c>
      <c r="H110" s="11">
        <f>AVERAGE(C110:F110)</f>
        <v>1769.8375000000001</v>
      </c>
    </row>
    <row r="111" spans="2:22" x14ac:dyDescent="0.2">
      <c r="B111" s="11">
        <v>10</v>
      </c>
      <c r="C111" s="11">
        <v>1992.05</v>
      </c>
      <c r="D111" s="11">
        <v>2142.65</v>
      </c>
      <c r="E111" s="11">
        <v>2196.9499999999998</v>
      </c>
      <c r="F111" s="11">
        <v>2618.1</v>
      </c>
      <c r="H111" s="11">
        <f>AVERAGE(C111:F111)</f>
        <v>2237.4375</v>
      </c>
    </row>
    <row r="112" spans="2:22" x14ac:dyDescent="0.2">
      <c r="B112" s="11">
        <v>100</v>
      </c>
      <c r="C112" s="11">
        <v>2216.5</v>
      </c>
      <c r="D112" s="11">
        <v>2766.2</v>
      </c>
      <c r="E112" s="11">
        <v>2327.6999999999998</v>
      </c>
      <c r="F112" s="11">
        <v>2997.05</v>
      </c>
      <c r="H112" s="11">
        <f>AVERAGE(C112:F112)</f>
        <v>2576.8625000000002</v>
      </c>
    </row>
    <row r="113" spans="2:8" x14ac:dyDescent="0.2">
      <c r="B113" s="11">
        <v>1000</v>
      </c>
      <c r="C113" s="11">
        <v>1993.65</v>
      </c>
      <c r="D113" s="11">
        <v>2425.4</v>
      </c>
      <c r="E113" s="11">
        <v>2474.3000000000002</v>
      </c>
      <c r="F113" s="11">
        <v>3556.05</v>
      </c>
      <c r="H113" s="11">
        <f>AVERAGE(C113:F113)</f>
        <v>2612.3500000000004</v>
      </c>
    </row>
    <row r="114" spans="2:8" x14ac:dyDescent="0.2">
      <c r="B114" s="11"/>
    </row>
    <row r="115" spans="2:8" ht="15.75" x14ac:dyDescent="0.25">
      <c r="C115" s="43" t="s">
        <v>3</v>
      </c>
      <c r="D115" s="43"/>
      <c r="E115" s="43"/>
      <c r="F115" s="43"/>
    </row>
    <row r="116" spans="2:8" x14ac:dyDescent="0.2">
      <c r="B116" s="11">
        <v>0</v>
      </c>
      <c r="C116" s="11">
        <v>8.69</v>
      </c>
      <c r="D116" s="11">
        <v>448.1</v>
      </c>
      <c r="E116" s="11">
        <v>349.71</v>
      </c>
      <c r="F116" s="11"/>
      <c r="H116" s="11">
        <f>AVERAGE(C116:F116)</f>
        <v>268.83333333333331</v>
      </c>
    </row>
    <row r="117" spans="2:8" x14ac:dyDescent="0.2">
      <c r="B117" s="11">
        <v>1</v>
      </c>
      <c r="C117" s="11">
        <v>1969.4</v>
      </c>
      <c r="D117" s="11">
        <v>3390.5</v>
      </c>
      <c r="E117" s="11">
        <v>3128.3</v>
      </c>
      <c r="F117" s="11"/>
      <c r="H117" s="11">
        <f>AVERAGE(C117:F117)</f>
        <v>2829.4</v>
      </c>
    </row>
    <row r="118" spans="2:8" x14ac:dyDescent="0.2">
      <c r="B118" s="11">
        <v>10</v>
      </c>
      <c r="C118" s="11">
        <v>2207.8000000000002</v>
      </c>
      <c r="D118" s="11">
        <v>3370.45</v>
      </c>
      <c r="E118" s="11">
        <v>3200.1</v>
      </c>
      <c r="F118" s="11"/>
      <c r="H118" s="11">
        <f>AVERAGE(C118:F118)</f>
        <v>2926.1166666666668</v>
      </c>
    </row>
    <row r="119" spans="2:8" x14ac:dyDescent="0.2">
      <c r="B119" s="11">
        <v>100</v>
      </c>
      <c r="C119" s="11">
        <v>2292.5</v>
      </c>
      <c r="D119" s="11">
        <v>3834.65</v>
      </c>
      <c r="E119" s="11">
        <v>3675.85</v>
      </c>
      <c r="F119" s="11"/>
      <c r="H119" s="11">
        <f>AVERAGE(C119:F119)</f>
        <v>3267.6666666666665</v>
      </c>
    </row>
    <row r="120" spans="2:8" x14ac:dyDescent="0.2">
      <c r="B120" s="11">
        <v>1000</v>
      </c>
      <c r="C120" s="11">
        <v>2265.3000000000002</v>
      </c>
      <c r="D120" s="11">
        <v>3247.8</v>
      </c>
      <c r="E120" s="11">
        <v>3754.75</v>
      </c>
      <c r="F120" s="11"/>
      <c r="H120" s="11">
        <f>AVERAGE(C120:F120)</f>
        <v>3089.2833333333333</v>
      </c>
    </row>
    <row r="122" spans="2:8" ht="15.75" x14ac:dyDescent="0.25">
      <c r="C122" s="43" t="s">
        <v>4</v>
      </c>
      <c r="D122" s="43"/>
      <c r="E122" s="43"/>
      <c r="F122" s="43"/>
    </row>
    <row r="123" spans="2:8" x14ac:dyDescent="0.2">
      <c r="B123" s="11">
        <v>0</v>
      </c>
      <c r="C123" s="11">
        <v>0.52</v>
      </c>
      <c r="D123" s="11">
        <v>0.31</v>
      </c>
      <c r="E123" s="11">
        <v>3.63</v>
      </c>
      <c r="H123" s="11">
        <f>AVERAGE(C123:F123)</f>
        <v>1.4866666666666666</v>
      </c>
    </row>
    <row r="124" spans="2:8" x14ac:dyDescent="0.2">
      <c r="B124" s="11">
        <v>1</v>
      </c>
      <c r="C124" s="11">
        <v>2553.0500000000002</v>
      </c>
      <c r="D124" s="11">
        <v>2380.85</v>
      </c>
      <c r="E124" s="11">
        <v>2732</v>
      </c>
      <c r="H124" s="11">
        <f>AVERAGE(C124:F124)</f>
        <v>2555.2999999999997</v>
      </c>
    </row>
    <row r="125" spans="2:8" x14ac:dyDescent="0.2">
      <c r="B125" s="11">
        <v>10</v>
      </c>
      <c r="C125" s="11">
        <v>2960.3</v>
      </c>
      <c r="D125" s="11">
        <v>2360</v>
      </c>
      <c r="E125" s="11">
        <v>3031</v>
      </c>
      <c r="H125" s="11">
        <f>AVERAGE(C125:F125)</f>
        <v>2783.7666666666664</v>
      </c>
    </row>
    <row r="126" spans="2:8" x14ac:dyDescent="0.2">
      <c r="B126" s="11">
        <v>100</v>
      </c>
      <c r="C126" s="11">
        <v>3247.8</v>
      </c>
      <c r="D126" s="11">
        <v>2561.75</v>
      </c>
      <c r="E126" s="11">
        <v>3033.05</v>
      </c>
      <c r="H126" s="11">
        <f>AVERAGE(C126:F126)</f>
        <v>2947.5333333333333</v>
      </c>
    </row>
    <row r="127" spans="2:8" x14ac:dyDescent="0.2">
      <c r="B127" s="11">
        <v>1000</v>
      </c>
      <c r="C127" s="11">
        <v>2662.25</v>
      </c>
      <c r="D127" s="11">
        <v>1973.6</v>
      </c>
      <c r="E127" s="11">
        <v>2827.75</v>
      </c>
      <c r="H127" s="11">
        <f>AVERAGE(C127:F127)</f>
        <v>2487.8666666666668</v>
      </c>
    </row>
    <row r="130" spans="1:8" ht="15.75" x14ac:dyDescent="0.25">
      <c r="A130" s="9" t="s">
        <v>167</v>
      </c>
      <c r="C130" s="43" t="s">
        <v>0</v>
      </c>
      <c r="D130" s="43"/>
      <c r="E130" s="43"/>
      <c r="F130" s="43"/>
    </row>
    <row r="131" spans="1:8" ht="15.75" x14ac:dyDescent="0.25">
      <c r="A131" s="9"/>
      <c r="C131" s="10"/>
      <c r="D131" s="10"/>
      <c r="E131" s="10"/>
      <c r="F131" s="10"/>
    </row>
    <row r="132" spans="1:8" ht="15.75" x14ac:dyDescent="0.25">
      <c r="A132" s="9"/>
      <c r="B132" s="10" t="s">
        <v>79</v>
      </c>
      <c r="C132" s="10"/>
      <c r="D132" s="10"/>
      <c r="E132" s="10"/>
      <c r="F132" s="10"/>
      <c r="H132" s="24" t="s">
        <v>63</v>
      </c>
    </row>
    <row r="133" spans="1:8" x14ac:dyDescent="0.2">
      <c r="A133" s="8" t="s">
        <v>44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H133" s="27">
        <f>AVERAGE(C133:F133)</f>
        <v>0</v>
      </c>
    </row>
    <row r="134" spans="1:8" x14ac:dyDescent="0.2">
      <c r="A134" s="8" t="s">
        <v>31</v>
      </c>
      <c r="B134" s="11">
        <v>1</v>
      </c>
      <c r="C134" s="11">
        <v>6.56</v>
      </c>
      <c r="D134" s="11">
        <v>22.4</v>
      </c>
      <c r="E134" s="11">
        <v>12.61</v>
      </c>
      <c r="F134" s="11">
        <v>45.23</v>
      </c>
      <c r="H134" s="27">
        <f>AVERAGE(C134:F134)</f>
        <v>21.699999999999996</v>
      </c>
    </row>
    <row r="135" spans="1:8" x14ac:dyDescent="0.2">
      <c r="B135" s="11">
        <v>10</v>
      </c>
      <c r="C135" s="11">
        <v>9.98</v>
      </c>
      <c r="D135" s="11">
        <v>11.1</v>
      </c>
      <c r="E135" s="11">
        <v>32.68</v>
      </c>
      <c r="F135" s="11">
        <v>36.520000000000003</v>
      </c>
      <c r="H135" s="27">
        <f>AVERAGE(C135:F135)</f>
        <v>22.57</v>
      </c>
    </row>
    <row r="136" spans="1:8" x14ac:dyDescent="0.2">
      <c r="B136" s="11">
        <v>100</v>
      </c>
      <c r="C136" s="11">
        <v>11.48</v>
      </c>
      <c r="D136" s="11">
        <v>30.17</v>
      </c>
      <c r="E136" s="11">
        <v>37.909999999999997</v>
      </c>
      <c r="F136" s="11">
        <v>54.78</v>
      </c>
      <c r="H136" s="27">
        <f>AVERAGE(C136:F136)</f>
        <v>33.585000000000001</v>
      </c>
    </row>
    <row r="137" spans="1:8" x14ac:dyDescent="0.2">
      <c r="B137" s="11">
        <v>1000</v>
      </c>
      <c r="C137" s="11">
        <v>23.33</v>
      </c>
      <c r="D137" s="11">
        <v>33.4</v>
      </c>
      <c r="E137" s="11">
        <v>33.32</v>
      </c>
      <c r="F137" s="11">
        <v>63.27</v>
      </c>
      <c r="H137" s="27">
        <f>AVERAGE(C137:F137)</f>
        <v>38.33</v>
      </c>
    </row>
    <row r="138" spans="1:8" x14ac:dyDescent="0.2">
      <c r="H138" s="25"/>
    </row>
    <row r="139" spans="1:8" x14ac:dyDescent="0.2">
      <c r="H139" s="25"/>
    </row>
    <row r="140" spans="1:8" ht="15.75" x14ac:dyDescent="0.25">
      <c r="C140" s="43" t="s">
        <v>1</v>
      </c>
      <c r="D140" s="43"/>
      <c r="E140" s="43"/>
      <c r="F140" s="43"/>
      <c r="H140" s="25"/>
    </row>
    <row r="141" spans="1:8" x14ac:dyDescent="0.2">
      <c r="B141" s="11">
        <v>0</v>
      </c>
      <c r="C141" s="11">
        <v>0</v>
      </c>
      <c r="D141" s="11">
        <v>420.79</v>
      </c>
      <c r="E141" s="11">
        <v>130.80000000000001</v>
      </c>
      <c r="F141" s="11">
        <v>555.20000000000005</v>
      </c>
      <c r="H141" s="27">
        <f>AVERAGE(C141:F141)</f>
        <v>276.69749999999999</v>
      </c>
    </row>
    <row r="142" spans="1:8" x14ac:dyDescent="0.2">
      <c r="B142" s="11">
        <v>1</v>
      </c>
      <c r="C142" s="11">
        <v>3118.65</v>
      </c>
      <c r="D142" s="11">
        <v>2811.2</v>
      </c>
      <c r="E142" s="11">
        <v>3558.3</v>
      </c>
      <c r="F142" s="11">
        <v>2658</v>
      </c>
      <c r="H142" s="27">
        <f>AVERAGE(C142:F142)</f>
        <v>3036.5375000000004</v>
      </c>
    </row>
    <row r="143" spans="1:8" x14ac:dyDescent="0.2">
      <c r="B143" s="11">
        <v>10</v>
      </c>
      <c r="C143" s="11">
        <v>3473.8</v>
      </c>
      <c r="D143" s="11">
        <v>3068.1</v>
      </c>
      <c r="E143" s="11">
        <v>3921.85</v>
      </c>
      <c r="F143" s="11">
        <v>2683.35</v>
      </c>
      <c r="H143" s="27">
        <f>AVERAGE(C143:F143)</f>
        <v>3286.7750000000001</v>
      </c>
    </row>
    <row r="144" spans="1:8" x14ac:dyDescent="0.2">
      <c r="B144" s="11">
        <v>100</v>
      </c>
      <c r="C144" s="11">
        <v>3388.45</v>
      </c>
      <c r="D144" s="11">
        <v>3267.1</v>
      </c>
      <c r="E144" s="11">
        <v>4044.35</v>
      </c>
      <c r="F144" s="11">
        <v>2857.65</v>
      </c>
      <c r="H144" s="27">
        <f>AVERAGE(C144:F144)</f>
        <v>3389.3874999999998</v>
      </c>
    </row>
    <row r="145" spans="2:8" x14ac:dyDescent="0.2">
      <c r="B145" s="11">
        <v>1000</v>
      </c>
      <c r="C145" s="11">
        <v>3557.65</v>
      </c>
      <c r="D145" s="11">
        <v>3127.5</v>
      </c>
      <c r="E145" s="11">
        <v>3995</v>
      </c>
      <c r="F145" s="11">
        <v>2745.55</v>
      </c>
      <c r="H145" s="27">
        <f>AVERAGE(C145:F145)</f>
        <v>3356.4250000000002</v>
      </c>
    </row>
    <row r="146" spans="2:8" x14ac:dyDescent="0.2">
      <c r="H146" s="25"/>
    </row>
    <row r="147" spans="2:8" x14ac:dyDescent="0.2">
      <c r="H147" s="25"/>
    </row>
    <row r="148" spans="2:8" ht="15.75" x14ac:dyDescent="0.25">
      <c r="C148" s="43" t="s">
        <v>7</v>
      </c>
      <c r="D148" s="43"/>
      <c r="E148" s="43"/>
      <c r="F148" s="43"/>
      <c r="H148" s="25"/>
    </row>
    <row r="149" spans="2:8" x14ac:dyDescent="0.2">
      <c r="B149" s="11">
        <v>0</v>
      </c>
      <c r="C149" s="11">
        <v>23.06</v>
      </c>
      <c r="D149" s="11">
        <v>10.02</v>
      </c>
      <c r="E149" s="11">
        <v>8.5</v>
      </c>
      <c r="F149" s="11">
        <v>12.77</v>
      </c>
      <c r="H149" s="27">
        <f>AVERAGE(C149:F149)</f>
        <v>13.587499999999999</v>
      </c>
    </row>
    <row r="150" spans="2:8" x14ac:dyDescent="0.2">
      <c r="B150" s="11">
        <v>1</v>
      </c>
      <c r="C150" s="11">
        <v>2125.5</v>
      </c>
      <c r="D150" s="11">
        <v>2389.1</v>
      </c>
      <c r="E150" s="11">
        <v>2423.4</v>
      </c>
      <c r="F150" s="11">
        <v>3136.3</v>
      </c>
      <c r="H150" s="27">
        <f>AVERAGE(C150:F150)</f>
        <v>2518.5749999999998</v>
      </c>
    </row>
    <row r="151" spans="2:8" x14ac:dyDescent="0.2">
      <c r="B151" s="11">
        <v>10</v>
      </c>
      <c r="C151" s="11">
        <v>2514.65</v>
      </c>
      <c r="D151" s="11">
        <v>2494.85</v>
      </c>
      <c r="E151" s="11">
        <v>2624.35</v>
      </c>
      <c r="F151" s="11">
        <v>3283.1</v>
      </c>
      <c r="H151" s="27">
        <f>AVERAGE(C151:F151)</f>
        <v>2729.2375000000002</v>
      </c>
    </row>
    <row r="152" spans="2:8" x14ac:dyDescent="0.2">
      <c r="B152" s="11">
        <v>100</v>
      </c>
      <c r="C152" s="11">
        <v>2887.5</v>
      </c>
      <c r="D152" s="11">
        <v>2832.55</v>
      </c>
      <c r="E152" s="11">
        <v>2883</v>
      </c>
      <c r="F152" s="11">
        <v>3524.95</v>
      </c>
      <c r="H152" s="27">
        <f>AVERAGE(C152:F152)</f>
        <v>3032</v>
      </c>
    </row>
    <row r="153" spans="2:8" x14ac:dyDescent="0.2">
      <c r="B153" s="11">
        <v>1000</v>
      </c>
      <c r="C153" s="11">
        <v>2626.95</v>
      </c>
      <c r="D153" s="11">
        <v>3088.85</v>
      </c>
      <c r="E153" s="11">
        <v>3087.2</v>
      </c>
      <c r="F153" s="11">
        <v>3345.3</v>
      </c>
      <c r="H153" s="27">
        <f>AVERAGE(C153:F153)</f>
        <v>3037.0749999999998</v>
      </c>
    </row>
    <row r="154" spans="2:8" x14ac:dyDescent="0.2">
      <c r="H154" s="25"/>
    </row>
    <row r="155" spans="2:8" x14ac:dyDescent="0.2">
      <c r="H155" s="25"/>
    </row>
    <row r="156" spans="2:8" ht="15.75" x14ac:dyDescent="0.25">
      <c r="C156" s="43" t="s">
        <v>3</v>
      </c>
      <c r="D156" s="43"/>
      <c r="E156" s="43"/>
      <c r="F156" s="43"/>
      <c r="H156" s="25"/>
    </row>
    <row r="157" spans="2:8" x14ac:dyDescent="0.2">
      <c r="B157" s="11">
        <v>0</v>
      </c>
      <c r="C157" s="11">
        <v>108.63</v>
      </c>
      <c r="D157" s="11">
        <v>688.57</v>
      </c>
      <c r="E157" s="11">
        <v>806.2</v>
      </c>
      <c r="H157" s="27">
        <f>AVERAGE(C157:F157)</f>
        <v>534.4666666666667</v>
      </c>
    </row>
    <row r="158" spans="2:8" x14ac:dyDescent="0.2">
      <c r="B158" s="11">
        <v>1</v>
      </c>
      <c r="C158" s="11">
        <v>2205.3000000000002</v>
      </c>
      <c r="D158" s="11">
        <v>3268.45</v>
      </c>
      <c r="E158" s="11">
        <v>3804.95</v>
      </c>
      <c r="H158" s="27">
        <f>AVERAGE(C158:F158)</f>
        <v>3092.9</v>
      </c>
    </row>
    <row r="159" spans="2:8" x14ac:dyDescent="0.2">
      <c r="B159" s="11">
        <v>10</v>
      </c>
      <c r="C159" s="11">
        <v>2463.15</v>
      </c>
      <c r="D159" s="11">
        <v>3511.3</v>
      </c>
      <c r="E159" s="11">
        <v>3895.95</v>
      </c>
      <c r="H159" s="27">
        <f>AVERAGE(C159:F159)</f>
        <v>3290.1333333333337</v>
      </c>
    </row>
    <row r="160" spans="2:8" x14ac:dyDescent="0.2">
      <c r="B160" s="11">
        <v>100</v>
      </c>
      <c r="C160" s="11">
        <v>2639.1</v>
      </c>
      <c r="D160" s="11">
        <v>3550.35</v>
      </c>
      <c r="E160" s="11">
        <v>3857.25</v>
      </c>
      <c r="H160" s="27">
        <f>AVERAGE(C160:F160)</f>
        <v>3348.9</v>
      </c>
    </row>
    <row r="161" spans="1:8" x14ac:dyDescent="0.2">
      <c r="B161" s="11">
        <v>1000</v>
      </c>
      <c r="C161" s="11">
        <v>2460.65</v>
      </c>
      <c r="D161" s="11">
        <v>3578.25</v>
      </c>
      <c r="E161" s="11">
        <v>3866.85</v>
      </c>
      <c r="H161" s="27">
        <f>AVERAGE(C161:F161)</f>
        <v>3301.9166666666665</v>
      </c>
    </row>
    <row r="162" spans="1:8" x14ac:dyDescent="0.2">
      <c r="H162" s="25"/>
    </row>
    <row r="163" spans="1:8" x14ac:dyDescent="0.2">
      <c r="H163" s="25"/>
    </row>
    <row r="164" spans="1:8" ht="15.75" x14ac:dyDescent="0.25">
      <c r="C164" s="43" t="s">
        <v>4</v>
      </c>
      <c r="D164" s="43"/>
      <c r="E164" s="43"/>
      <c r="F164" s="43"/>
      <c r="H164" s="25"/>
    </row>
    <row r="165" spans="1:8" x14ac:dyDescent="0.2">
      <c r="B165" s="11">
        <v>0</v>
      </c>
      <c r="C165" s="11">
        <v>4.4800000000000004</v>
      </c>
      <c r="D165" s="11">
        <v>0</v>
      </c>
      <c r="E165" s="11">
        <v>30.92</v>
      </c>
      <c r="H165" s="27">
        <f>AVERAGE(C165:F165)</f>
        <v>11.800000000000002</v>
      </c>
    </row>
    <row r="166" spans="1:8" x14ac:dyDescent="0.2">
      <c r="B166" s="11">
        <v>1</v>
      </c>
      <c r="C166" s="11">
        <v>2210.4499999999998</v>
      </c>
      <c r="D166" s="11">
        <v>1823.6</v>
      </c>
      <c r="E166" s="11">
        <v>2289.9499999999998</v>
      </c>
      <c r="H166" s="27">
        <f>AVERAGE(C166:F166)</f>
        <v>2108</v>
      </c>
    </row>
    <row r="167" spans="1:8" x14ac:dyDescent="0.2">
      <c r="B167" s="11">
        <v>10</v>
      </c>
      <c r="C167" s="11">
        <v>2473.5</v>
      </c>
      <c r="D167" s="11">
        <v>2110.65</v>
      </c>
      <c r="E167" s="11">
        <v>2701.25</v>
      </c>
      <c r="H167" s="27">
        <f>AVERAGE(C167:F167)</f>
        <v>2428.4666666666667</v>
      </c>
    </row>
    <row r="168" spans="1:8" x14ac:dyDescent="0.2">
      <c r="B168" s="11">
        <v>100</v>
      </c>
      <c r="C168" s="11">
        <v>2802.15</v>
      </c>
      <c r="D168" s="11">
        <v>2217.8000000000002</v>
      </c>
      <c r="E168" s="11">
        <v>2758.1</v>
      </c>
      <c r="H168" s="27">
        <f>AVERAGE(C168:F168)</f>
        <v>2592.6833333333338</v>
      </c>
    </row>
    <row r="169" spans="1:8" x14ac:dyDescent="0.2">
      <c r="B169" s="11">
        <v>1000</v>
      </c>
      <c r="C169" s="11">
        <v>2661.4</v>
      </c>
      <c r="D169" s="11">
        <v>1958.55</v>
      </c>
      <c r="E169" s="11">
        <v>2536.5500000000002</v>
      </c>
      <c r="H169" s="27">
        <f>AVERAGE(C169:F169)</f>
        <v>2385.5</v>
      </c>
    </row>
    <row r="172" spans="1:8" s="9" customFormat="1" ht="15.75" x14ac:dyDescent="0.25">
      <c r="A172" s="9" t="s">
        <v>33</v>
      </c>
      <c r="B172" s="10" t="s">
        <v>0</v>
      </c>
      <c r="C172" s="10" t="s">
        <v>1</v>
      </c>
      <c r="D172" s="10" t="s">
        <v>7</v>
      </c>
      <c r="E172" s="10" t="s">
        <v>3</v>
      </c>
      <c r="F172" s="10" t="s">
        <v>4</v>
      </c>
    </row>
    <row r="173" spans="1:8" x14ac:dyDescent="0.2">
      <c r="A173" s="8" t="s">
        <v>34</v>
      </c>
      <c r="B173" s="11">
        <v>37.886000000000003</v>
      </c>
      <c r="C173" s="11">
        <v>33.381</v>
      </c>
      <c r="D173" s="11">
        <v>50.463999999999999</v>
      </c>
      <c r="E173" s="11">
        <v>58.27</v>
      </c>
      <c r="F173" s="11">
        <v>83.33</v>
      </c>
    </row>
    <row r="174" spans="1:8" x14ac:dyDescent="0.2">
      <c r="B174" s="11">
        <v>30.414999999999999</v>
      </c>
      <c r="C174" s="11">
        <v>50.110999999999997</v>
      </c>
      <c r="D174" s="11">
        <v>55.225999999999999</v>
      </c>
      <c r="E174" s="11">
        <v>90.655000000000001</v>
      </c>
      <c r="F174" s="11">
        <v>71.045000000000002</v>
      </c>
    </row>
    <row r="175" spans="1:8" x14ac:dyDescent="0.2">
      <c r="B175" s="11">
        <v>36.045999999999999</v>
      </c>
      <c r="C175" s="11">
        <v>40.362000000000002</v>
      </c>
      <c r="D175" s="11">
        <v>55.174999999999997</v>
      </c>
      <c r="E175" s="11">
        <v>37.688000000000002</v>
      </c>
      <c r="F175" s="11">
        <v>89.537000000000006</v>
      </c>
    </row>
    <row r="176" spans="1:8" x14ac:dyDescent="0.2">
      <c r="B176" s="11">
        <v>39.932000000000002</v>
      </c>
      <c r="C176" s="11">
        <v>47.515000000000001</v>
      </c>
      <c r="D176" s="11">
        <v>70.459999999999994</v>
      </c>
      <c r="E176" s="11">
        <v>91.274000000000001</v>
      </c>
      <c r="F176" s="11"/>
    </row>
    <row r="178" spans="1:6" ht="15.75" x14ac:dyDescent="0.25">
      <c r="A178" s="23" t="s">
        <v>172</v>
      </c>
      <c r="B178" s="26">
        <f>AVERAGE(B173:B176)</f>
        <v>36.069749999999999</v>
      </c>
      <c r="C178" s="26">
        <f>AVERAGE(C173:C176)</f>
        <v>42.842249999999993</v>
      </c>
      <c r="D178" s="26">
        <f>AVERAGE(D173:D176)</f>
        <v>57.831249999999997</v>
      </c>
      <c r="E178" s="26">
        <f>AVERAGE(E173:E176)</f>
        <v>69.47175</v>
      </c>
      <c r="F178" s="26">
        <f>AVERAGE(F173:F176)</f>
        <v>81.304000000000002</v>
      </c>
    </row>
  </sheetData>
  <mergeCells count="19">
    <mergeCell ref="C94:F94"/>
    <mergeCell ref="Y3:AF3"/>
    <mergeCell ref="AI3:AN3"/>
    <mergeCell ref="G92:J92"/>
    <mergeCell ref="K92:N92"/>
    <mergeCell ref="O92:R92"/>
    <mergeCell ref="S92:V92"/>
    <mergeCell ref="C3:I3"/>
    <mergeCell ref="J3:P3"/>
    <mergeCell ref="R3:X3"/>
    <mergeCell ref="C101:F101"/>
    <mergeCell ref="C108:F108"/>
    <mergeCell ref="C115:F115"/>
    <mergeCell ref="C122:F122"/>
    <mergeCell ref="C164:F164"/>
    <mergeCell ref="C130:F130"/>
    <mergeCell ref="C140:F140"/>
    <mergeCell ref="C148:F148"/>
    <mergeCell ref="C156:F1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AC46-07B5-4591-9189-18B7926F6AFE}">
  <dimension ref="A1:L128"/>
  <sheetViews>
    <sheetView topLeftCell="A114" workbookViewId="0">
      <selection activeCell="N98" sqref="N98"/>
    </sheetView>
  </sheetViews>
  <sheetFormatPr defaultRowHeight="15" x14ac:dyDescent="0.2"/>
  <cols>
    <col min="1" max="1" width="12.7109375" style="8" customWidth="1"/>
    <col min="2" max="2" width="10.28515625" style="8" bestFit="1" customWidth="1"/>
    <col min="3" max="4" width="9.28515625" style="8" bestFit="1" customWidth="1"/>
    <col min="5" max="5" width="12.7109375" style="8" customWidth="1"/>
    <col min="6" max="7" width="15" style="8" customWidth="1"/>
    <col min="8" max="8" width="13.7109375" style="8" customWidth="1"/>
    <col min="9" max="9" width="11.85546875" style="8" customWidth="1"/>
    <col min="10" max="10" width="12.42578125" style="8" customWidth="1"/>
    <col min="11" max="16384" width="9.140625" style="8"/>
  </cols>
  <sheetData>
    <row r="1" spans="1:4" ht="15.75" x14ac:dyDescent="0.25">
      <c r="A1" s="44" t="s">
        <v>125</v>
      </c>
      <c r="B1" s="44"/>
      <c r="C1" s="44"/>
      <c r="D1" s="44"/>
    </row>
    <row r="3" spans="1:4" ht="15.75" x14ac:dyDescent="0.25">
      <c r="A3" s="9" t="s">
        <v>89</v>
      </c>
    </row>
    <row r="4" spans="1:4" ht="15.75" x14ac:dyDescent="0.25">
      <c r="A4" s="9" t="s">
        <v>90</v>
      </c>
      <c r="B4" s="14" t="s">
        <v>173</v>
      </c>
      <c r="C4" s="24" t="s">
        <v>92</v>
      </c>
      <c r="D4" s="24" t="s">
        <v>93</v>
      </c>
    </row>
    <row r="5" spans="1:4" x14ac:dyDescent="0.2">
      <c r="B5" s="14">
        <v>0</v>
      </c>
      <c r="C5" s="14">
        <v>394.76799999999997</v>
      </c>
      <c r="D5" s="14">
        <v>718.39200000000005</v>
      </c>
    </row>
    <row r="6" spans="1:4" x14ac:dyDescent="0.2">
      <c r="B6" s="14">
        <v>2.7E-8</v>
      </c>
      <c r="C6" s="14">
        <v>375.24200000000002</v>
      </c>
      <c r="D6" s="14">
        <v>720.21199999999999</v>
      </c>
    </row>
    <row r="7" spans="1:4" x14ac:dyDescent="0.2">
      <c r="B7" s="14">
        <v>8.2000000000000006E-8</v>
      </c>
      <c r="C7" s="14">
        <v>348.298</v>
      </c>
      <c r="D7" s="14">
        <v>656.33600000000001</v>
      </c>
    </row>
    <row r="8" spans="1:4" x14ac:dyDescent="0.2">
      <c r="B8" s="14">
        <v>2.4999999999999999E-7</v>
      </c>
      <c r="C8" s="14">
        <v>235.38</v>
      </c>
      <c r="D8" s="14">
        <v>413.84800000000001</v>
      </c>
    </row>
    <row r="9" spans="1:4" x14ac:dyDescent="0.2">
      <c r="B9" s="14">
        <v>7.4000000000000001E-7</v>
      </c>
      <c r="C9" s="14">
        <v>57.981999999999999</v>
      </c>
      <c r="D9" s="14">
        <v>124.136</v>
      </c>
    </row>
    <row r="10" spans="1:4" x14ac:dyDescent="0.2">
      <c r="B10" s="14">
        <v>2.2000000000000001E-6</v>
      </c>
      <c r="C10" s="14">
        <v>0</v>
      </c>
      <c r="D10" s="14">
        <v>0</v>
      </c>
    </row>
    <row r="11" spans="1:4" x14ac:dyDescent="0.2">
      <c r="B11" s="14">
        <v>6.7000000000000002E-6</v>
      </c>
      <c r="C11" s="14">
        <v>0</v>
      </c>
      <c r="D11" s="14">
        <v>0</v>
      </c>
    </row>
    <row r="12" spans="1:4" x14ac:dyDescent="0.2">
      <c r="B12" s="14">
        <v>2.0000000000000002E-5</v>
      </c>
      <c r="C12" s="14">
        <v>0</v>
      </c>
      <c r="D12" s="14">
        <v>0</v>
      </c>
    </row>
    <row r="14" spans="1:4" ht="15.75" x14ac:dyDescent="0.25">
      <c r="A14" s="9" t="s">
        <v>91</v>
      </c>
    </row>
    <row r="15" spans="1:4" ht="15.75" x14ac:dyDescent="0.25">
      <c r="A15" s="9" t="s">
        <v>94</v>
      </c>
      <c r="B15" s="14" t="s">
        <v>173</v>
      </c>
      <c r="C15" s="24" t="s">
        <v>92</v>
      </c>
      <c r="D15" s="24" t="s">
        <v>93</v>
      </c>
    </row>
    <row r="16" spans="1:4" x14ac:dyDescent="0.2">
      <c r="B16" s="11">
        <v>0</v>
      </c>
      <c r="C16" s="11">
        <v>265.87599999999998</v>
      </c>
      <c r="D16" s="11">
        <v>7.6159999999999997</v>
      </c>
    </row>
    <row r="17" spans="1:5" x14ac:dyDescent="0.2">
      <c r="B17" s="11">
        <v>2.7E-8</v>
      </c>
      <c r="C17" s="11">
        <v>220.33</v>
      </c>
      <c r="D17" s="11">
        <v>0.98799999999999999</v>
      </c>
    </row>
    <row r="18" spans="1:5" x14ac:dyDescent="0.2">
      <c r="B18" s="11">
        <v>8.2000000000000006E-8</v>
      </c>
      <c r="C18" s="11">
        <v>216.03</v>
      </c>
      <c r="D18" s="11">
        <v>13.744</v>
      </c>
    </row>
    <row r="19" spans="1:5" x14ac:dyDescent="0.2">
      <c r="B19" s="11">
        <v>2.4999999999999999E-7</v>
      </c>
      <c r="C19" s="11">
        <v>252.078</v>
      </c>
      <c r="D19" s="11">
        <v>0.34799999999999998</v>
      </c>
    </row>
    <row r="20" spans="1:5" x14ac:dyDescent="0.2">
      <c r="B20" s="11">
        <v>7.4000000000000001E-7</v>
      </c>
      <c r="C20" s="11">
        <v>270.10399999999998</v>
      </c>
      <c r="D20" s="11">
        <v>46.975999999999999</v>
      </c>
    </row>
    <row r="21" spans="1:5" x14ac:dyDescent="0.2">
      <c r="B21" s="11">
        <v>2.2000000000000001E-6</v>
      </c>
      <c r="C21" s="11">
        <v>234.93199999999999</v>
      </c>
      <c r="D21" s="11">
        <v>27.42</v>
      </c>
    </row>
    <row r="22" spans="1:5" x14ac:dyDescent="0.2">
      <c r="B22" s="11">
        <v>6.7000000000000002E-6</v>
      </c>
      <c r="C22" s="11">
        <v>274.654</v>
      </c>
      <c r="D22" s="11">
        <v>48.634</v>
      </c>
    </row>
    <row r="23" spans="1:5" x14ac:dyDescent="0.2">
      <c r="B23" s="11">
        <v>2.0000000000000002E-5</v>
      </c>
      <c r="C23" s="11">
        <v>261.71100000000001</v>
      </c>
      <c r="D23" s="11">
        <v>7.6139999999999999</v>
      </c>
    </row>
    <row r="24" spans="1:5" x14ac:dyDescent="0.2">
      <c r="B24" s="11"/>
      <c r="C24" s="11"/>
      <c r="D24" s="11"/>
    </row>
    <row r="25" spans="1:5" ht="15.75" x14ac:dyDescent="0.25">
      <c r="A25" s="9" t="s">
        <v>97</v>
      </c>
    </row>
    <row r="26" spans="1:5" ht="15.75" x14ac:dyDescent="0.25">
      <c r="A26" s="9" t="s">
        <v>94</v>
      </c>
      <c r="B26" s="14" t="s">
        <v>173</v>
      </c>
      <c r="C26" s="24" t="s">
        <v>92</v>
      </c>
      <c r="D26" s="24" t="s">
        <v>93</v>
      </c>
      <c r="E26" s="24" t="s">
        <v>95</v>
      </c>
    </row>
    <row r="27" spans="1:5" x14ac:dyDescent="0.2">
      <c r="B27" s="14">
        <v>0</v>
      </c>
      <c r="C27" s="14">
        <v>733.53200000000004</v>
      </c>
      <c r="D27" s="14">
        <v>62.22</v>
      </c>
      <c r="E27" s="14">
        <v>500.73200000000003</v>
      </c>
    </row>
    <row r="28" spans="1:5" x14ac:dyDescent="0.2">
      <c r="B28" s="14">
        <v>2.7E-8</v>
      </c>
      <c r="C28" s="14">
        <v>656.63599999999997</v>
      </c>
      <c r="D28" s="14">
        <v>81.745999999999995</v>
      </c>
      <c r="E28" s="14">
        <v>463.49599999999998</v>
      </c>
    </row>
    <row r="29" spans="1:5" x14ac:dyDescent="0.2">
      <c r="B29" s="14">
        <v>8.2000000000000006E-8</v>
      </c>
      <c r="C29" s="14">
        <v>642.10799999999995</v>
      </c>
      <c r="D29" s="14">
        <v>71.603999999999999</v>
      </c>
      <c r="E29" s="14">
        <v>536.452</v>
      </c>
    </row>
    <row r="30" spans="1:5" x14ac:dyDescent="0.2">
      <c r="B30" s="14">
        <v>2.4999999999999999E-7</v>
      </c>
      <c r="C30" s="14">
        <v>676.01199999999994</v>
      </c>
      <c r="D30" s="14">
        <v>49.201999999999998</v>
      </c>
      <c r="E30" s="14">
        <v>506.78800000000001</v>
      </c>
    </row>
    <row r="31" spans="1:5" x14ac:dyDescent="0.2">
      <c r="B31" s="14">
        <v>7.4000000000000001E-7</v>
      </c>
      <c r="C31" s="14">
        <v>722.02800000000002</v>
      </c>
      <c r="D31" s="14">
        <v>91.888000000000005</v>
      </c>
      <c r="E31" s="14">
        <v>499.22</v>
      </c>
    </row>
    <row r="32" spans="1:5" x14ac:dyDescent="0.2">
      <c r="B32" s="14">
        <v>2.2000000000000001E-6</v>
      </c>
      <c r="C32" s="14">
        <v>664.20399999999995</v>
      </c>
      <c r="D32" s="14">
        <v>75.238</v>
      </c>
      <c r="E32" s="14">
        <v>463.19200000000001</v>
      </c>
    </row>
    <row r="33" spans="1:5" x14ac:dyDescent="0.2">
      <c r="B33" s="14">
        <v>6.7000000000000002E-6</v>
      </c>
      <c r="C33" s="14">
        <v>785.29600000000005</v>
      </c>
      <c r="D33" s="14">
        <v>120.34399999999999</v>
      </c>
      <c r="E33" s="14">
        <v>606.38400000000001</v>
      </c>
    </row>
    <row r="34" spans="1:5" x14ac:dyDescent="0.2">
      <c r="B34" s="14">
        <v>2.0000000000000002E-5</v>
      </c>
      <c r="C34" s="14">
        <v>740.19200000000001</v>
      </c>
      <c r="D34" s="14">
        <v>66.305999999999997</v>
      </c>
      <c r="E34" s="14">
        <v>503.45600000000002</v>
      </c>
    </row>
    <row r="37" spans="1:5" ht="15.75" x14ac:dyDescent="0.25">
      <c r="A37" s="9" t="s">
        <v>101</v>
      </c>
      <c r="B37" s="14" t="s">
        <v>173</v>
      </c>
      <c r="C37" s="24" t="s">
        <v>96</v>
      </c>
    </row>
    <row r="38" spans="1:5" ht="15.75" x14ac:dyDescent="0.25">
      <c r="A38" s="9" t="s">
        <v>75</v>
      </c>
      <c r="B38" s="14">
        <v>2.0000000000000002E-5</v>
      </c>
      <c r="C38" s="14">
        <v>0</v>
      </c>
    </row>
    <row r="39" spans="1:5" x14ac:dyDescent="0.2">
      <c r="B39" s="14">
        <v>6.7000000000000002E-6</v>
      </c>
      <c r="C39" s="14">
        <v>0</v>
      </c>
    </row>
    <row r="40" spans="1:5" x14ac:dyDescent="0.2">
      <c r="B40" s="14">
        <v>2.2000000000000001E-6</v>
      </c>
      <c r="C40" s="14">
        <v>0</v>
      </c>
    </row>
    <row r="41" spans="1:5" x14ac:dyDescent="0.2">
      <c r="B41" s="14">
        <v>7.4000000000000001E-7</v>
      </c>
      <c r="C41" s="14">
        <v>0.22800000000000001</v>
      </c>
    </row>
    <row r="42" spans="1:5" x14ac:dyDescent="0.2">
      <c r="B42" s="14">
        <v>2.4999999999999999E-7</v>
      </c>
      <c r="C42" s="14">
        <v>33.677999999999997</v>
      </c>
    </row>
    <row r="43" spans="1:5" x14ac:dyDescent="0.2">
      <c r="B43" s="14">
        <v>8.2000000000000006E-8</v>
      </c>
      <c r="C43" s="14">
        <v>83.647999999999996</v>
      </c>
    </row>
    <row r="44" spans="1:5" x14ac:dyDescent="0.2">
      <c r="B44" s="14">
        <v>2.7E-8</v>
      </c>
      <c r="C44" s="14">
        <v>89.2</v>
      </c>
    </row>
    <row r="45" spans="1:5" x14ac:dyDescent="0.2">
      <c r="B45" s="14">
        <v>0</v>
      </c>
      <c r="C45" s="14">
        <v>112.59399999999999</v>
      </c>
    </row>
    <row r="46" spans="1:5" x14ac:dyDescent="0.2">
      <c r="B46" s="11"/>
      <c r="C46" s="11"/>
    </row>
    <row r="47" spans="1:5" ht="15.75" x14ac:dyDescent="0.25">
      <c r="A47" s="9" t="s">
        <v>102</v>
      </c>
    </row>
    <row r="48" spans="1:5" ht="15.75" x14ac:dyDescent="0.25">
      <c r="A48" s="9" t="s">
        <v>99</v>
      </c>
      <c r="B48" s="14" t="s">
        <v>173</v>
      </c>
      <c r="C48" s="24" t="s">
        <v>96</v>
      </c>
    </row>
    <row r="49" spans="1:3" x14ac:dyDescent="0.2">
      <c r="B49" s="11">
        <v>2.0000000000000002E-5</v>
      </c>
      <c r="C49" s="11">
        <v>0</v>
      </c>
    </row>
    <row r="50" spans="1:3" x14ac:dyDescent="0.2">
      <c r="B50" s="11">
        <v>6.7000000000000002E-6</v>
      </c>
      <c r="C50" s="11">
        <v>196.04400000000001</v>
      </c>
    </row>
    <row r="51" spans="1:3" x14ac:dyDescent="0.2">
      <c r="B51" s="11">
        <v>2.2000000000000001E-6</v>
      </c>
      <c r="C51" s="11">
        <v>665.822</v>
      </c>
    </row>
    <row r="52" spans="1:3" x14ac:dyDescent="0.2">
      <c r="B52" s="11">
        <v>7.4000000000000001E-7</v>
      </c>
      <c r="C52" s="11">
        <v>1186.2159999999999</v>
      </c>
    </row>
    <row r="53" spans="1:3" x14ac:dyDescent="0.2">
      <c r="B53" s="11">
        <v>2.4999999999999999E-7</v>
      </c>
      <c r="C53" s="11">
        <v>1447.47</v>
      </c>
    </row>
    <row r="54" spans="1:3" x14ac:dyDescent="0.2">
      <c r="B54" s="11">
        <v>8.2000000000000006E-8</v>
      </c>
      <c r="C54" s="11">
        <v>1574.22</v>
      </c>
    </row>
    <row r="55" spans="1:3" x14ac:dyDescent="0.2">
      <c r="B55" s="11">
        <v>2.7E-8</v>
      </c>
      <c r="C55" s="11">
        <v>1646.6880000000001</v>
      </c>
    </row>
    <row r="57" spans="1:3" ht="15.75" x14ac:dyDescent="0.25">
      <c r="A57" s="9" t="s">
        <v>124</v>
      </c>
    </row>
    <row r="58" spans="1:3" ht="15.75" x14ac:dyDescent="0.25">
      <c r="A58" s="9" t="s">
        <v>100</v>
      </c>
      <c r="B58" s="14" t="s">
        <v>173</v>
      </c>
      <c r="C58" s="24" t="s">
        <v>96</v>
      </c>
    </row>
    <row r="59" spans="1:3" x14ac:dyDescent="0.2">
      <c r="B59" s="11">
        <v>2.0000000000000002E-5</v>
      </c>
      <c r="C59" s="11">
        <v>10.96</v>
      </c>
    </row>
    <row r="60" spans="1:3" x14ac:dyDescent="0.2">
      <c r="B60" s="11">
        <v>6.7000000000000002E-6</v>
      </c>
      <c r="C60" s="11">
        <v>171.86</v>
      </c>
    </row>
    <row r="61" spans="1:3" x14ac:dyDescent="0.2">
      <c r="B61" s="11">
        <v>2.2000000000000001E-6</v>
      </c>
      <c r="C61" s="11">
        <v>505.82</v>
      </c>
    </row>
    <row r="62" spans="1:3" x14ac:dyDescent="0.2">
      <c r="B62" s="11">
        <v>7.4000000000000001E-7</v>
      </c>
      <c r="C62" s="11">
        <v>711.52</v>
      </c>
    </row>
    <row r="63" spans="1:3" x14ac:dyDescent="0.2">
      <c r="B63" s="11">
        <v>2.4999999999999999E-7</v>
      </c>
      <c r="C63" s="11">
        <v>773.83</v>
      </c>
    </row>
    <row r="64" spans="1:3" x14ac:dyDescent="0.2">
      <c r="B64" s="11">
        <v>8.2000000000000006E-8</v>
      </c>
      <c r="C64" s="11">
        <v>822.32</v>
      </c>
    </row>
    <row r="65" spans="1:10" x14ac:dyDescent="0.2">
      <c r="B65" s="11">
        <v>2.7E-8</v>
      </c>
      <c r="C65" s="11">
        <v>859.78</v>
      </c>
    </row>
    <row r="66" spans="1:10" x14ac:dyDescent="0.2">
      <c r="B66" s="11"/>
      <c r="C66" s="11"/>
    </row>
    <row r="67" spans="1:10" ht="15.75" x14ac:dyDescent="0.25">
      <c r="A67" s="46" t="s">
        <v>185</v>
      </c>
      <c r="B67" s="46"/>
    </row>
    <row r="68" spans="1:10" ht="15.75" x14ac:dyDescent="0.25">
      <c r="A68" s="44" t="s">
        <v>174</v>
      </c>
      <c r="B68" s="44"/>
      <c r="C68" s="44"/>
      <c r="D68" s="44"/>
      <c r="E68" s="44"/>
      <c r="F68" s="44"/>
      <c r="G68" s="44"/>
    </row>
    <row r="69" spans="1:10" x14ac:dyDescent="0.2">
      <c r="A69" s="45" t="s">
        <v>123</v>
      </c>
      <c r="B69" s="45"/>
      <c r="C69" s="45"/>
      <c r="D69" s="45"/>
      <c r="E69" s="45"/>
      <c r="F69" s="45"/>
      <c r="G69" s="45"/>
      <c r="H69" s="45"/>
    </row>
    <row r="71" spans="1:10" ht="30.75" x14ac:dyDescent="0.25">
      <c r="A71" s="23" t="s">
        <v>108</v>
      </c>
      <c r="B71" s="23" t="s">
        <v>109</v>
      </c>
      <c r="C71" s="23" t="s">
        <v>110</v>
      </c>
      <c r="D71" s="23" t="s">
        <v>111</v>
      </c>
      <c r="E71" s="28" t="s">
        <v>112</v>
      </c>
      <c r="F71" s="28" t="s">
        <v>113</v>
      </c>
      <c r="G71" s="28" t="s">
        <v>114</v>
      </c>
      <c r="H71" s="28" t="s">
        <v>115</v>
      </c>
      <c r="I71" s="28" t="s">
        <v>116</v>
      </c>
      <c r="J71" s="28" t="s">
        <v>117</v>
      </c>
    </row>
    <row r="72" spans="1:10" x14ac:dyDescent="0.2">
      <c r="A72" s="18">
        <v>3</v>
      </c>
      <c r="B72" s="18">
        <v>6043.91</v>
      </c>
      <c r="C72" s="18" t="s">
        <v>118</v>
      </c>
      <c r="D72" s="18" t="s">
        <v>98</v>
      </c>
      <c r="E72" s="29">
        <v>6.13</v>
      </c>
      <c r="F72" s="29">
        <v>1.25</v>
      </c>
      <c r="G72" s="29">
        <v>4.21</v>
      </c>
      <c r="H72" s="29">
        <v>0.5</v>
      </c>
      <c r="I72" s="29">
        <v>0.13</v>
      </c>
      <c r="J72" s="29">
        <v>0.04</v>
      </c>
    </row>
    <row r="73" spans="1:10" x14ac:dyDescent="0.2">
      <c r="A73" s="18">
        <v>2</v>
      </c>
      <c r="B73" s="18">
        <v>6055.3</v>
      </c>
      <c r="C73" s="18" t="s">
        <v>118</v>
      </c>
      <c r="D73" s="18" t="s">
        <v>98</v>
      </c>
      <c r="E73" s="29">
        <v>7.55</v>
      </c>
      <c r="F73" s="29">
        <v>2.19</v>
      </c>
      <c r="G73" s="29">
        <v>4.59</v>
      </c>
      <c r="H73" s="29">
        <v>0.62</v>
      </c>
      <c r="I73" s="29">
        <v>0.15</v>
      </c>
      <c r="J73" s="29">
        <v>0</v>
      </c>
    </row>
    <row r="74" spans="1:10" x14ac:dyDescent="0.2">
      <c r="A74" s="18">
        <v>5</v>
      </c>
      <c r="B74" s="18">
        <v>6126.81</v>
      </c>
      <c r="C74" s="18" t="s">
        <v>118</v>
      </c>
      <c r="D74" s="18" t="s">
        <v>98</v>
      </c>
      <c r="E74" s="18">
        <v>4.95</v>
      </c>
      <c r="F74" s="18">
        <v>1.02</v>
      </c>
      <c r="G74" s="18">
        <v>3.46</v>
      </c>
      <c r="H74" s="18">
        <v>0.33</v>
      </c>
      <c r="I74" s="18">
        <v>0.14000000000000001</v>
      </c>
      <c r="J74" s="18">
        <v>0</v>
      </c>
    </row>
    <row r="75" spans="1:10" x14ac:dyDescent="0.2">
      <c r="A75" s="18">
        <v>6</v>
      </c>
      <c r="B75" s="18">
        <v>6135.4</v>
      </c>
      <c r="C75" s="18" t="s">
        <v>118</v>
      </c>
      <c r="D75" s="18" t="s">
        <v>98</v>
      </c>
      <c r="E75" s="18">
        <v>6.59</v>
      </c>
      <c r="F75" s="18">
        <v>1.79</v>
      </c>
      <c r="G75" s="18">
        <v>4.2</v>
      </c>
      <c r="H75" s="18">
        <v>0.41</v>
      </c>
      <c r="I75" s="18">
        <v>0.19</v>
      </c>
      <c r="J75" s="18">
        <v>0</v>
      </c>
    </row>
    <row r="76" spans="1:10" x14ac:dyDescent="0.2">
      <c r="A76" s="18">
        <v>1</v>
      </c>
      <c r="B76" s="18">
        <v>6142.3</v>
      </c>
      <c r="C76" s="18" t="s">
        <v>118</v>
      </c>
      <c r="D76" s="18" t="s">
        <v>119</v>
      </c>
      <c r="E76" s="18">
        <v>13.04</v>
      </c>
      <c r="F76" s="18">
        <v>5.17</v>
      </c>
      <c r="G76" s="18">
        <v>6.62</v>
      </c>
      <c r="H76" s="18">
        <v>0.89</v>
      </c>
      <c r="I76" s="18">
        <v>0.34</v>
      </c>
      <c r="J76" s="18">
        <v>0.02</v>
      </c>
    </row>
    <row r="77" spans="1:10" x14ac:dyDescent="0.2">
      <c r="A77" s="18">
        <v>2</v>
      </c>
      <c r="B77" s="18">
        <v>6134.1</v>
      </c>
      <c r="C77" s="18" t="s">
        <v>118</v>
      </c>
      <c r="D77" s="18" t="s">
        <v>119</v>
      </c>
      <c r="E77" s="18">
        <v>11.87</v>
      </c>
      <c r="F77" s="18">
        <v>4.2699999999999996</v>
      </c>
      <c r="G77" s="18">
        <v>6.66</v>
      </c>
      <c r="H77" s="18">
        <v>0.49</v>
      </c>
      <c r="I77" s="18">
        <v>0.45</v>
      </c>
      <c r="J77" s="18">
        <v>0</v>
      </c>
    </row>
    <row r="78" spans="1:10" x14ac:dyDescent="0.2">
      <c r="A78" s="18">
        <v>7</v>
      </c>
      <c r="B78" s="18">
        <v>6105.92</v>
      </c>
      <c r="C78" s="18" t="s">
        <v>118</v>
      </c>
      <c r="D78" s="18" t="s">
        <v>119</v>
      </c>
      <c r="E78" s="18">
        <v>9.41</v>
      </c>
      <c r="F78" s="18">
        <v>2.14</v>
      </c>
      <c r="G78" s="18">
        <v>6.2</v>
      </c>
      <c r="H78" s="18">
        <v>0.77</v>
      </c>
      <c r="I78" s="18">
        <v>0.3</v>
      </c>
      <c r="J78" s="18">
        <v>0</v>
      </c>
    </row>
    <row r="79" spans="1:10" x14ac:dyDescent="0.2">
      <c r="A79" s="18">
        <v>8</v>
      </c>
      <c r="B79" s="18">
        <v>6170.4</v>
      </c>
      <c r="C79" s="18" t="s">
        <v>118</v>
      </c>
      <c r="D79" s="18" t="s">
        <v>119</v>
      </c>
      <c r="E79" s="18">
        <v>8.82</v>
      </c>
      <c r="F79" s="18">
        <v>3.33</v>
      </c>
      <c r="G79" s="18">
        <v>4.6100000000000003</v>
      </c>
      <c r="H79" s="18">
        <v>0.55000000000000004</v>
      </c>
      <c r="I79" s="18">
        <v>0.28999999999999998</v>
      </c>
      <c r="J79" s="18">
        <v>0.04</v>
      </c>
    </row>
    <row r="80" spans="1:10" x14ac:dyDescent="0.2">
      <c r="A80" s="18">
        <v>9</v>
      </c>
      <c r="B80" s="18">
        <v>6170.7</v>
      </c>
      <c r="C80" s="18" t="s">
        <v>118</v>
      </c>
      <c r="D80" s="18" t="s">
        <v>119</v>
      </c>
      <c r="E80" s="18">
        <v>7.38</v>
      </c>
      <c r="F80" s="18">
        <v>2.17</v>
      </c>
      <c r="G80" s="18">
        <v>4.33</v>
      </c>
      <c r="H80" s="18">
        <v>0.69</v>
      </c>
      <c r="I80" s="18">
        <v>0.19</v>
      </c>
      <c r="J80" s="18">
        <v>0</v>
      </c>
    </row>
    <row r="81" spans="1:12" x14ac:dyDescent="0.2">
      <c r="A81" s="18">
        <v>5</v>
      </c>
      <c r="B81" s="18">
        <v>6031.93</v>
      </c>
      <c r="C81" s="18" t="s">
        <v>120</v>
      </c>
      <c r="D81" s="18" t="s">
        <v>121</v>
      </c>
      <c r="E81" s="29">
        <v>3.91</v>
      </c>
      <c r="F81" s="29">
        <v>0.44</v>
      </c>
      <c r="G81" s="29">
        <v>3.25</v>
      </c>
      <c r="H81" s="29">
        <v>0.1</v>
      </c>
      <c r="I81" s="29">
        <v>0.12</v>
      </c>
      <c r="J81" s="29">
        <v>0</v>
      </c>
    </row>
    <row r="82" spans="1:12" x14ac:dyDescent="0.2">
      <c r="A82" s="18">
        <v>4</v>
      </c>
      <c r="B82" s="18">
        <v>6031.9</v>
      </c>
      <c r="C82" s="18" t="s">
        <v>120</v>
      </c>
      <c r="D82" s="18" t="s">
        <v>121</v>
      </c>
      <c r="E82" s="29">
        <v>4.5999999999999996</v>
      </c>
      <c r="F82" s="29">
        <v>0.53</v>
      </c>
      <c r="G82" s="29">
        <v>3.92</v>
      </c>
      <c r="H82" s="29">
        <v>7.0000000000000007E-2</v>
      </c>
      <c r="I82" s="29">
        <v>7.0000000000000007E-2</v>
      </c>
      <c r="J82" s="29">
        <v>0.01</v>
      </c>
    </row>
    <row r="83" spans="1:12" x14ac:dyDescent="0.2">
      <c r="A83" s="18">
        <v>3</v>
      </c>
      <c r="B83" s="18">
        <v>6143.9</v>
      </c>
      <c r="C83" s="18" t="s">
        <v>120</v>
      </c>
      <c r="D83" s="18" t="s">
        <v>121</v>
      </c>
      <c r="E83" s="18">
        <v>4.12</v>
      </c>
      <c r="F83" s="18">
        <v>1.73</v>
      </c>
      <c r="G83" s="18">
        <v>5.0599999999999996</v>
      </c>
      <c r="H83" s="18">
        <v>0.12</v>
      </c>
      <c r="I83" s="18">
        <v>0.2</v>
      </c>
      <c r="J83" s="18">
        <v>0.01</v>
      </c>
    </row>
    <row r="84" spans="1:12" x14ac:dyDescent="0.2">
      <c r="A84" s="18">
        <v>4</v>
      </c>
      <c r="B84" s="18">
        <v>6143.8</v>
      </c>
      <c r="C84" s="18" t="s">
        <v>120</v>
      </c>
      <c r="D84" s="18" t="s">
        <v>121</v>
      </c>
      <c r="E84" s="18">
        <v>3.3</v>
      </c>
      <c r="F84" s="18">
        <v>0.3</v>
      </c>
      <c r="G84" s="18">
        <v>2.87</v>
      </c>
      <c r="H84" s="18">
        <v>0.04</v>
      </c>
      <c r="I84" s="18">
        <v>0.09</v>
      </c>
      <c r="J84" s="18">
        <v>0</v>
      </c>
    </row>
    <row r="85" spans="1:12" x14ac:dyDescent="0.2">
      <c r="A85" s="18">
        <v>1</v>
      </c>
      <c r="B85" s="18">
        <v>6011.63</v>
      </c>
      <c r="C85" s="18" t="s">
        <v>118</v>
      </c>
      <c r="D85" s="18" t="s">
        <v>122</v>
      </c>
      <c r="E85" s="29">
        <v>19.899999999999999</v>
      </c>
      <c r="F85" s="29">
        <v>9.19</v>
      </c>
      <c r="G85" s="29">
        <v>6.62</v>
      </c>
      <c r="H85" s="29">
        <v>3.78</v>
      </c>
      <c r="I85" s="29">
        <v>0.28999999999999998</v>
      </c>
      <c r="J85" s="29">
        <v>0.02</v>
      </c>
    </row>
    <row r="86" spans="1:12" x14ac:dyDescent="0.2">
      <c r="A86" s="18">
        <v>11</v>
      </c>
      <c r="B86" s="18">
        <v>6088.83</v>
      </c>
      <c r="C86" s="18" t="s">
        <v>118</v>
      </c>
      <c r="D86" s="18" t="s">
        <v>122</v>
      </c>
      <c r="E86" s="18">
        <v>42.65</v>
      </c>
      <c r="F86" s="18">
        <v>26.49</v>
      </c>
      <c r="G86" s="18">
        <v>12.34</v>
      </c>
      <c r="H86" s="18">
        <v>3.52</v>
      </c>
      <c r="I86" s="18">
        <v>0.3</v>
      </c>
      <c r="J86" s="18">
        <v>0</v>
      </c>
    </row>
    <row r="87" spans="1:12" x14ac:dyDescent="0.2">
      <c r="A87" s="18">
        <v>13</v>
      </c>
      <c r="B87" s="18">
        <v>6130.3</v>
      </c>
      <c r="C87" s="18" t="s">
        <v>118</v>
      </c>
      <c r="D87" s="18" t="s">
        <v>122</v>
      </c>
      <c r="E87" s="18">
        <v>21</v>
      </c>
      <c r="F87" s="18">
        <v>11.46</v>
      </c>
      <c r="G87" s="18">
        <v>7.44</v>
      </c>
      <c r="H87" s="18">
        <v>1.77</v>
      </c>
      <c r="I87" s="18">
        <v>0.31</v>
      </c>
      <c r="J87" s="18">
        <v>0.02</v>
      </c>
    </row>
    <row r="88" spans="1:12" x14ac:dyDescent="0.2">
      <c r="A88" s="18">
        <v>14</v>
      </c>
      <c r="B88" s="18">
        <v>6130.4</v>
      </c>
      <c r="C88" s="18" t="s">
        <v>118</v>
      </c>
      <c r="D88" s="18" t="s">
        <v>122</v>
      </c>
      <c r="E88" s="18">
        <v>42.31</v>
      </c>
      <c r="F88" s="18">
        <v>21.28</v>
      </c>
      <c r="G88" s="18">
        <v>17.53</v>
      </c>
      <c r="H88" s="18">
        <v>3.28</v>
      </c>
      <c r="I88" s="18">
        <v>0.22</v>
      </c>
      <c r="J88" s="18">
        <v>0</v>
      </c>
    </row>
    <row r="91" spans="1:12" ht="15.75" x14ac:dyDescent="0.25">
      <c r="A91" s="39" t="s">
        <v>184</v>
      </c>
    </row>
    <row r="93" spans="1:12" ht="15.75" x14ac:dyDescent="0.25">
      <c r="A93" s="7" t="s">
        <v>186</v>
      </c>
      <c r="L93"/>
    </row>
    <row r="94" spans="1:12" ht="15.75" x14ac:dyDescent="0.25">
      <c r="L94"/>
    </row>
    <row r="95" spans="1:12" ht="15.75" x14ac:dyDescent="0.25">
      <c r="A95" s="8" t="s">
        <v>121</v>
      </c>
      <c r="G95" s="8" t="s">
        <v>187</v>
      </c>
      <c r="L95"/>
    </row>
    <row r="96" spans="1:12" ht="15.75" x14ac:dyDescent="0.25">
      <c r="A96" s="40" t="s">
        <v>188</v>
      </c>
      <c r="B96" s="14">
        <v>3.91</v>
      </c>
      <c r="C96" s="14">
        <v>4.5999999999999996</v>
      </c>
      <c r="D96" s="14">
        <v>4.12</v>
      </c>
      <c r="E96" s="14">
        <v>3.3</v>
      </c>
      <c r="F96" s="18"/>
      <c r="L96"/>
    </row>
    <row r="97" spans="1:12" ht="15.75" x14ac:dyDescent="0.25">
      <c r="A97" s="40" t="s">
        <v>189</v>
      </c>
      <c r="B97" s="14">
        <v>0.44</v>
      </c>
      <c r="C97" s="14">
        <v>0.53</v>
      </c>
      <c r="D97" s="14">
        <v>0.73</v>
      </c>
      <c r="E97" s="14">
        <v>0.3</v>
      </c>
      <c r="F97" s="18"/>
      <c r="G97" s="18">
        <f>B97/3.91*100</f>
        <v>11.253196930946292</v>
      </c>
      <c r="H97" s="18">
        <f>C97/4.6*100</f>
        <v>11.521739130434785</v>
      </c>
      <c r="I97" s="18">
        <f>D97/4.12*100</f>
        <v>17.718446601941746</v>
      </c>
      <c r="J97" s="18">
        <f>E97/3.3*100</f>
        <v>9.0909090909090917</v>
      </c>
      <c r="K97" s="18"/>
      <c r="L97"/>
    </row>
    <row r="98" spans="1:12" ht="15.75" x14ac:dyDescent="0.25">
      <c r="A98" s="40" t="s">
        <v>190</v>
      </c>
      <c r="B98" s="14">
        <v>3.25</v>
      </c>
      <c r="C98" s="14">
        <v>3.92</v>
      </c>
      <c r="D98" s="14">
        <v>3.06</v>
      </c>
      <c r="E98" s="14">
        <v>2.87</v>
      </c>
      <c r="F98" s="18"/>
      <c r="G98" s="18">
        <f t="shared" ref="G98:G101" si="0">B98/3.91*100</f>
        <v>83.120204603580561</v>
      </c>
      <c r="H98" s="18">
        <f t="shared" ref="H98:H101" si="1">C98/4.6*100</f>
        <v>85.217391304347828</v>
      </c>
      <c r="I98" s="18">
        <f t="shared" ref="I98:I101" si="2">D98/4.12*100</f>
        <v>74.271844660194176</v>
      </c>
      <c r="J98" s="18">
        <f t="shared" ref="J98:J101" si="3">E98/3.3*100</f>
        <v>86.969696969696969</v>
      </c>
      <c r="K98" s="18"/>
      <c r="L98"/>
    </row>
    <row r="99" spans="1:12" ht="15.75" x14ac:dyDescent="0.25">
      <c r="A99" s="40" t="s">
        <v>191</v>
      </c>
      <c r="B99" s="14">
        <v>0.1</v>
      </c>
      <c r="C99" s="14">
        <v>7.0000000000000007E-2</v>
      </c>
      <c r="D99" s="14">
        <v>0.12</v>
      </c>
      <c r="E99" s="14">
        <v>0.04</v>
      </c>
      <c r="F99" s="18"/>
      <c r="G99" s="18">
        <f t="shared" si="0"/>
        <v>2.5575447570332481</v>
      </c>
      <c r="H99" s="18">
        <f t="shared" si="1"/>
        <v>1.5217391304347829</v>
      </c>
      <c r="I99" s="18">
        <f t="shared" si="2"/>
        <v>2.9126213592233006</v>
      </c>
      <c r="J99" s="18">
        <f t="shared" si="3"/>
        <v>1.2121212121212124</v>
      </c>
      <c r="K99" s="18"/>
      <c r="L99"/>
    </row>
    <row r="100" spans="1:12" ht="15.75" x14ac:dyDescent="0.25">
      <c r="A100" s="40" t="s">
        <v>192</v>
      </c>
      <c r="B100" s="14">
        <v>0.12</v>
      </c>
      <c r="C100" s="14">
        <v>7.0000000000000007E-2</v>
      </c>
      <c r="D100" s="14">
        <v>0.2</v>
      </c>
      <c r="E100" s="14">
        <v>0.09</v>
      </c>
      <c r="F100" s="18"/>
      <c r="G100" s="18">
        <f t="shared" si="0"/>
        <v>3.0690537084398972</v>
      </c>
      <c r="H100" s="18">
        <f t="shared" si="1"/>
        <v>1.5217391304347829</v>
      </c>
      <c r="I100" s="18">
        <f t="shared" si="2"/>
        <v>4.8543689320388346</v>
      </c>
      <c r="J100" s="18">
        <f t="shared" si="3"/>
        <v>2.7272727272727275</v>
      </c>
      <c r="K100" s="18"/>
      <c r="L100"/>
    </row>
    <row r="101" spans="1:12" ht="15.75" x14ac:dyDescent="0.25">
      <c r="A101" s="40" t="s">
        <v>193</v>
      </c>
      <c r="B101" s="14">
        <v>0</v>
      </c>
      <c r="C101" s="14">
        <v>0.01</v>
      </c>
      <c r="D101" s="14">
        <v>0.01</v>
      </c>
      <c r="E101" s="14">
        <v>0</v>
      </c>
      <c r="F101" s="18"/>
      <c r="G101" s="18">
        <f t="shared" si="0"/>
        <v>0</v>
      </c>
      <c r="H101" s="18">
        <f t="shared" si="1"/>
        <v>0.21739130434782608</v>
      </c>
      <c r="I101" s="18">
        <f t="shared" si="2"/>
        <v>0.24271844660194172</v>
      </c>
      <c r="J101" s="18">
        <f t="shared" si="3"/>
        <v>0</v>
      </c>
      <c r="K101" s="18"/>
      <c r="L101"/>
    </row>
    <row r="102" spans="1:12" ht="15.75" x14ac:dyDescent="0.25">
      <c r="B102" s="18"/>
      <c r="C102" s="18"/>
      <c r="D102" s="18"/>
      <c r="E102" s="18"/>
      <c r="F102" s="18"/>
      <c r="G102" s="18">
        <f>SUM(G97:G101)</f>
        <v>99.999999999999986</v>
      </c>
      <c r="H102" s="18">
        <f t="shared" ref="H102:J102" si="4">SUM(H97:H101)</f>
        <v>100</v>
      </c>
      <c r="I102" s="18">
        <f t="shared" si="4"/>
        <v>100</v>
      </c>
      <c r="J102" s="18">
        <f t="shared" si="4"/>
        <v>100.00000000000001</v>
      </c>
      <c r="K102" s="18"/>
      <c r="L102"/>
    </row>
    <row r="103" spans="1:12" ht="15.75" x14ac:dyDescent="0.25">
      <c r="A103" s="40" t="s">
        <v>98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/>
    </row>
    <row r="104" spans="1:12" ht="15.75" x14ac:dyDescent="0.25">
      <c r="A104" s="40" t="s">
        <v>188</v>
      </c>
      <c r="B104" s="14">
        <v>6.13</v>
      </c>
      <c r="C104" s="14">
        <v>7.55</v>
      </c>
      <c r="D104" s="14">
        <v>4.95</v>
      </c>
      <c r="E104" s="14">
        <v>6.59</v>
      </c>
      <c r="F104" s="18"/>
      <c r="G104" s="18"/>
      <c r="H104" s="18"/>
      <c r="I104" s="18"/>
      <c r="J104" s="18"/>
      <c r="K104" s="18"/>
      <c r="L104"/>
    </row>
    <row r="105" spans="1:12" ht="15.75" x14ac:dyDescent="0.25">
      <c r="A105" s="40" t="s">
        <v>189</v>
      </c>
      <c r="B105" s="14">
        <v>1.25</v>
      </c>
      <c r="C105" s="14">
        <v>2.19</v>
      </c>
      <c r="D105" s="14">
        <v>1.02</v>
      </c>
      <c r="E105" s="14">
        <v>1.79</v>
      </c>
      <c r="F105" s="18"/>
      <c r="G105" s="18">
        <f>B105/6.13*100</f>
        <v>20.391517128874391</v>
      </c>
      <c r="H105" s="18">
        <f>C105/7.55*100</f>
        <v>29.006622516556291</v>
      </c>
      <c r="I105" s="18">
        <f>D105/4.95*100</f>
        <v>20.606060606060606</v>
      </c>
      <c r="J105" s="18">
        <f>E105/6.59*100</f>
        <v>27.162367223065253</v>
      </c>
      <c r="K105" s="18"/>
      <c r="L105"/>
    </row>
    <row r="106" spans="1:12" ht="15.75" x14ac:dyDescent="0.25">
      <c r="A106" s="40" t="s">
        <v>190</v>
      </c>
      <c r="B106" s="14">
        <v>4.21</v>
      </c>
      <c r="C106" s="14">
        <v>4.59</v>
      </c>
      <c r="D106" s="14">
        <v>3.46</v>
      </c>
      <c r="E106" s="14">
        <v>4.2</v>
      </c>
      <c r="F106" s="18"/>
      <c r="G106" s="18">
        <f t="shared" ref="G106:G109" si="5">B106/6.13*100</f>
        <v>68.678629690048936</v>
      </c>
      <c r="H106" s="18">
        <f t="shared" ref="H106:H109" si="6">C106/7.55*100</f>
        <v>60.794701986754959</v>
      </c>
      <c r="I106" s="18">
        <f t="shared" ref="I106:I109" si="7">D106/4.95*100</f>
        <v>69.898989898989896</v>
      </c>
      <c r="J106" s="18">
        <f t="shared" ref="J106:J109" si="8">E106/6.59*100</f>
        <v>63.73292867981791</v>
      </c>
      <c r="K106" s="18"/>
      <c r="L106"/>
    </row>
    <row r="107" spans="1:12" ht="15.75" x14ac:dyDescent="0.25">
      <c r="A107" s="40" t="s">
        <v>191</v>
      </c>
      <c r="B107" s="14">
        <v>0.5</v>
      </c>
      <c r="C107" s="14">
        <v>0.62</v>
      </c>
      <c r="D107" s="14">
        <v>0.33</v>
      </c>
      <c r="E107" s="14">
        <v>0.41</v>
      </c>
      <c r="F107" s="18"/>
      <c r="G107" s="18">
        <f t="shared" si="5"/>
        <v>8.1566068515497552</v>
      </c>
      <c r="H107" s="18">
        <f t="shared" si="6"/>
        <v>8.2119205298013238</v>
      </c>
      <c r="I107" s="18">
        <f t="shared" si="7"/>
        <v>6.666666666666667</v>
      </c>
      <c r="J107" s="18">
        <f t="shared" si="8"/>
        <v>6.2215477996965101</v>
      </c>
      <c r="K107" s="18"/>
      <c r="L107"/>
    </row>
    <row r="108" spans="1:12" ht="15.75" x14ac:dyDescent="0.25">
      <c r="A108" s="40" t="s">
        <v>192</v>
      </c>
      <c r="B108" s="14">
        <v>0.13</v>
      </c>
      <c r="C108" s="14">
        <v>0.15</v>
      </c>
      <c r="D108" s="14">
        <v>0.14000000000000001</v>
      </c>
      <c r="E108" s="14">
        <v>0.19</v>
      </c>
      <c r="F108" s="18"/>
      <c r="G108" s="18">
        <f t="shared" si="5"/>
        <v>2.1207177814029365</v>
      </c>
      <c r="H108" s="18">
        <f t="shared" si="6"/>
        <v>1.9867549668874174</v>
      </c>
      <c r="I108" s="18">
        <f t="shared" si="7"/>
        <v>2.8282828282828283</v>
      </c>
      <c r="J108" s="18">
        <f t="shared" si="8"/>
        <v>2.8831562974203342</v>
      </c>
      <c r="K108" s="18"/>
      <c r="L108"/>
    </row>
    <row r="109" spans="1:12" ht="15.75" x14ac:dyDescent="0.25">
      <c r="A109" s="40" t="s">
        <v>193</v>
      </c>
      <c r="B109" s="14">
        <v>0.04</v>
      </c>
      <c r="C109" s="14">
        <v>0</v>
      </c>
      <c r="D109" s="14">
        <v>0</v>
      </c>
      <c r="E109" s="14">
        <v>0</v>
      </c>
      <c r="F109" s="18"/>
      <c r="G109" s="18">
        <f t="shared" si="5"/>
        <v>0.65252854812398042</v>
      </c>
      <c r="H109" s="18">
        <f t="shared" si="6"/>
        <v>0</v>
      </c>
      <c r="I109" s="18">
        <f t="shared" si="7"/>
        <v>0</v>
      </c>
      <c r="J109" s="18">
        <f t="shared" si="8"/>
        <v>0</v>
      </c>
      <c r="K109" s="18"/>
      <c r="L109"/>
    </row>
    <row r="110" spans="1:12" ht="15.75" x14ac:dyDescent="0.25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/>
    </row>
    <row r="111" spans="1:12" ht="15.75" x14ac:dyDescent="0.25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/>
    </row>
    <row r="112" spans="1:12" ht="15.75" x14ac:dyDescent="0.25">
      <c r="A112" s="40" t="s">
        <v>119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/>
    </row>
    <row r="113" spans="1:12" ht="15.75" x14ac:dyDescent="0.25">
      <c r="A113" s="40" t="s">
        <v>188</v>
      </c>
      <c r="B113" s="14">
        <v>13.04</v>
      </c>
      <c r="C113" s="14">
        <v>11.87</v>
      </c>
      <c r="D113" s="14">
        <v>9.41</v>
      </c>
      <c r="E113" s="14">
        <v>8.82</v>
      </c>
      <c r="F113" s="14">
        <v>7.38</v>
      </c>
      <c r="G113" s="18"/>
      <c r="H113" s="18"/>
      <c r="I113" s="18"/>
      <c r="J113" s="18"/>
      <c r="K113" s="18"/>
      <c r="L113"/>
    </row>
    <row r="114" spans="1:12" ht="15.75" x14ac:dyDescent="0.25">
      <c r="A114" s="40" t="s">
        <v>189</v>
      </c>
      <c r="B114" s="14">
        <v>5.17</v>
      </c>
      <c r="C114" s="14">
        <v>4.2699999999999996</v>
      </c>
      <c r="D114" s="14">
        <v>2.14</v>
      </c>
      <c r="E114" s="14">
        <v>3.33</v>
      </c>
      <c r="F114" s="14">
        <v>2.17</v>
      </c>
      <c r="G114" s="18">
        <f>B114/13.04*100</f>
        <v>39.647239263803684</v>
      </c>
      <c r="H114" s="18">
        <f>C114/11.87*100</f>
        <v>35.973041280539178</v>
      </c>
      <c r="I114" s="18">
        <f>D114/9.41*100</f>
        <v>22.741764080765144</v>
      </c>
      <c r="J114" s="18">
        <f>E114/8.82*100</f>
        <v>37.755102040816325</v>
      </c>
      <c r="K114" s="18">
        <f>2.17/7.38*100</f>
        <v>29.403794037940379</v>
      </c>
      <c r="L114"/>
    </row>
    <row r="115" spans="1:12" ht="15.75" x14ac:dyDescent="0.25">
      <c r="A115" s="40" t="s">
        <v>190</v>
      </c>
      <c r="B115" s="14">
        <v>6.62</v>
      </c>
      <c r="C115" s="14">
        <v>6.66</v>
      </c>
      <c r="D115" s="14">
        <v>6.2</v>
      </c>
      <c r="E115" s="14">
        <v>4.6100000000000003</v>
      </c>
      <c r="F115" s="14">
        <v>4.33</v>
      </c>
      <c r="G115" s="18">
        <f t="shared" ref="G115:G118" si="9">B115/13.04*100</f>
        <v>50.766871165644176</v>
      </c>
      <c r="H115" s="18">
        <f t="shared" ref="H115:H118" si="10">C115/11.87*100</f>
        <v>56.10783487784331</v>
      </c>
      <c r="I115" s="18">
        <f t="shared" ref="I115:I118" si="11">D115/9.41*100</f>
        <v>65.887353878852281</v>
      </c>
      <c r="J115" s="18">
        <f t="shared" ref="J115:J118" si="12">E115/8.82*100</f>
        <v>52.267573696145128</v>
      </c>
      <c r="K115" s="18">
        <f>4.33/7.38*100</f>
        <v>58.672086720867213</v>
      </c>
      <c r="L115"/>
    </row>
    <row r="116" spans="1:12" ht="15.75" x14ac:dyDescent="0.25">
      <c r="A116" s="40" t="s">
        <v>191</v>
      </c>
      <c r="B116" s="14">
        <v>0.89</v>
      </c>
      <c r="C116" s="14">
        <v>0.49</v>
      </c>
      <c r="D116" s="14">
        <v>0.77</v>
      </c>
      <c r="E116" s="14">
        <v>0.55000000000000004</v>
      </c>
      <c r="F116" s="14">
        <v>0.69</v>
      </c>
      <c r="G116" s="18">
        <f t="shared" si="9"/>
        <v>6.8251533742331301</v>
      </c>
      <c r="H116" s="18">
        <f t="shared" si="10"/>
        <v>4.1280539174389217</v>
      </c>
      <c r="I116" s="18">
        <f t="shared" si="11"/>
        <v>8.1827842720510091</v>
      </c>
      <c r="J116" s="18">
        <f t="shared" si="12"/>
        <v>6.2358276643990935</v>
      </c>
      <c r="K116" s="18">
        <f>0.69/7.38*100</f>
        <v>9.3495934959349594</v>
      </c>
      <c r="L116"/>
    </row>
    <row r="117" spans="1:12" ht="15.75" x14ac:dyDescent="0.25">
      <c r="A117" s="40" t="s">
        <v>192</v>
      </c>
      <c r="B117" s="14">
        <v>0.34</v>
      </c>
      <c r="C117" s="14">
        <v>0.45</v>
      </c>
      <c r="D117" s="14">
        <v>0.3</v>
      </c>
      <c r="E117" s="14">
        <v>0.28999999999999998</v>
      </c>
      <c r="F117" s="14">
        <v>0.19</v>
      </c>
      <c r="G117" s="18">
        <f t="shared" si="9"/>
        <v>2.6073619631901841</v>
      </c>
      <c r="H117" s="18">
        <f t="shared" si="10"/>
        <v>3.7910699241786019</v>
      </c>
      <c r="I117" s="18">
        <f t="shared" si="11"/>
        <v>3.1880977683315619</v>
      </c>
      <c r="J117" s="18">
        <f t="shared" si="12"/>
        <v>3.2879818594104306</v>
      </c>
      <c r="K117" s="18">
        <f>0.29/7.38*100</f>
        <v>3.9295392953929538</v>
      </c>
      <c r="L117"/>
    </row>
    <row r="118" spans="1:12" ht="15.75" x14ac:dyDescent="0.25">
      <c r="A118" s="40" t="s">
        <v>193</v>
      </c>
      <c r="B118" s="14">
        <v>0.02</v>
      </c>
      <c r="C118" s="14">
        <v>0</v>
      </c>
      <c r="D118" s="14">
        <v>0</v>
      </c>
      <c r="E118" s="14">
        <v>0.04</v>
      </c>
      <c r="F118" s="14">
        <v>0</v>
      </c>
      <c r="G118" s="18">
        <f t="shared" si="9"/>
        <v>0.15337423312883436</v>
      </c>
      <c r="H118" s="18">
        <f t="shared" si="10"/>
        <v>0</v>
      </c>
      <c r="I118" s="18">
        <f t="shared" si="11"/>
        <v>0</v>
      </c>
      <c r="J118" s="18">
        <f t="shared" si="12"/>
        <v>0.45351473922902497</v>
      </c>
      <c r="K118" s="18">
        <f>0/7.38*100</f>
        <v>0</v>
      </c>
      <c r="L118"/>
    </row>
    <row r="119" spans="1:12" ht="15.75" x14ac:dyDescent="0.25">
      <c r="B119" s="18"/>
      <c r="C119" s="18"/>
      <c r="D119" s="18"/>
      <c r="E119" s="18"/>
      <c r="F119" s="18"/>
      <c r="G119" s="18">
        <f>SUM(G114:G118)</f>
        <v>100</v>
      </c>
      <c r="H119" s="18">
        <f t="shared" ref="H119:K119" si="13">SUM(H114:H118)</f>
        <v>100.00000000000001</v>
      </c>
      <c r="I119" s="18">
        <f t="shared" si="13"/>
        <v>99.999999999999986</v>
      </c>
      <c r="J119" s="18">
        <f t="shared" si="13"/>
        <v>100</v>
      </c>
      <c r="K119" s="18">
        <f t="shared" si="13"/>
        <v>101.3550135501355</v>
      </c>
      <c r="L119"/>
    </row>
    <row r="120" spans="1:12" ht="15.75" x14ac:dyDescent="0.25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/>
    </row>
    <row r="121" spans="1:12" ht="15.75" x14ac:dyDescent="0.25">
      <c r="A121" s="40" t="s">
        <v>122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/>
    </row>
    <row r="122" spans="1:12" ht="15.75" x14ac:dyDescent="0.25">
      <c r="A122" s="40" t="s">
        <v>188</v>
      </c>
      <c r="B122" s="14">
        <v>19.899999999999999</v>
      </c>
      <c r="C122" s="14">
        <v>42.65</v>
      </c>
      <c r="D122" s="14">
        <v>21</v>
      </c>
      <c r="E122" s="14">
        <v>42.31</v>
      </c>
      <c r="F122" s="18"/>
      <c r="G122" s="18"/>
      <c r="H122" s="18"/>
      <c r="I122" s="18"/>
      <c r="J122" s="18"/>
      <c r="K122" s="18"/>
      <c r="L122"/>
    </row>
    <row r="123" spans="1:12" ht="15.75" x14ac:dyDescent="0.25">
      <c r="A123" s="40" t="s">
        <v>189</v>
      </c>
      <c r="B123" s="14">
        <v>9.19</v>
      </c>
      <c r="C123" s="14">
        <v>26.49</v>
      </c>
      <c r="D123" s="14">
        <v>11.46</v>
      </c>
      <c r="E123" s="14">
        <v>21.28</v>
      </c>
      <c r="F123" s="18"/>
      <c r="G123" s="18">
        <f>9.19/19.9*100</f>
        <v>46.180904522613062</v>
      </c>
      <c r="H123" s="18">
        <f>26.49/42.65*100</f>
        <v>62.110199296600236</v>
      </c>
      <c r="I123" s="18">
        <f>11.46/21*100</f>
        <v>54.571428571428569</v>
      </c>
      <c r="J123" s="18">
        <f>21.28/42.31*100</f>
        <v>50.295438430631059</v>
      </c>
      <c r="K123" s="18"/>
      <c r="L123"/>
    </row>
    <row r="124" spans="1:12" ht="15.75" x14ac:dyDescent="0.25">
      <c r="A124" s="40" t="s">
        <v>190</v>
      </c>
      <c r="B124" s="14">
        <v>6.62</v>
      </c>
      <c r="C124" s="14">
        <v>12.34</v>
      </c>
      <c r="D124" s="14">
        <v>7.44</v>
      </c>
      <c r="E124" s="14">
        <v>17.53</v>
      </c>
      <c r="F124" s="18"/>
      <c r="G124" s="18">
        <f>6.62/19.9*100</f>
        <v>33.266331658291456</v>
      </c>
      <c r="H124" s="18">
        <f>12.34/42.65*100</f>
        <v>28.933177022274325</v>
      </c>
      <c r="I124" s="18">
        <f>7.44/21*100</f>
        <v>35.428571428571431</v>
      </c>
      <c r="J124" s="18">
        <f>17.53/42.31*100</f>
        <v>41.432285511699362</v>
      </c>
      <c r="K124" s="18"/>
      <c r="L124"/>
    </row>
    <row r="125" spans="1:12" ht="15.75" x14ac:dyDescent="0.25">
      <c r="A125" s="40" t="s">
        <v>191</v>
      </c>
      <c r="B125" s="14">
        <v>3.78</v>
      </c>
      <c r="C125" s="14">
        <v>3.52</v>
      </c>
      <c r="D125" s="14">
        <v>1.77</v>
      </c>
      <c r="E125" s="14">
        <v>3.28</v>
      </c>
      <c r="F125" s="18"/>
      <c r="G125" s="18">
        <f>3.78/19.9*100</f>
        <v>18.994974874371859</v>
      </c>
      <c r="H125" s="18">
        <f>3.52/42.65*100</f>
        <v>8.2532239155920291</v>
      </c>
      <c r="I125" s="18">
        <f>1.77/21*100</f>
        <v>8.4285714285714288</v>
      </c>
      <c r="J125" s="18">
        <f>3.28/42.31*100</f>
        <v>7.7523044197589206</v>
      </c>
      <c r="K125" s="18"/>
      <c r="L125"/>
    </row>
    <row r="126" spans="1:12" ht="15.75" x14ac:dyDescent="0.25">
      <c r="A126" s="40" t="s">
        <v>192</v>
      </c>
      <c r="B126" s="14">
        <v>0.28999999999999998</v>
      </c>
      <c r="C126" s="14">
        <v>0.3</v>
      </c>
      <c r="D126" s="14">
        <v>0.31</v>
      </c>
      <c r="E126" s="14">
        <v>0.22</v>
      </c>
      <c r="F126" s="18"/>
      <c r="G126" s="18">
        <f>0.29/19.9*100</f>
        <v>1.4572864321608041</v>
      </c>
      <c r="H126" s="18">
        <f>0.3/42.65*100</f>
        <v>0.70339976553341155</v>
      </c>
      <c r="I126" s="18">
        <f>0.31/21*100</f>
        <v>1.4761904761904763</v>
      </c>
      <c r="J126" s="18">
        <f>0.22/42.31*100</f>
        <v>0.51997163791065948</v>
      </c>
      <c r="K126" s="18"/>
      <c r="L126"/>
    </row>
    <row r="127" spans="1:12" ht="15.75" x14ac:dyDescent="0.25">
      <c r="A127" s="40" t="s">
        <v>193</v>
      </c>
      <c r="B127" s="14">
        <v>0.02</v>
      </c>
      <c r="C127" s="14">
        <v>0</v>
      </c>
      <c r="D127" s="14">
        <v>0.02</v>
      </c>
      <c r="E127" s="14">
        <v>0</v>
      </c>
      <c r="F127" s="18"/>
      <c r="G127" s="18">
        <f>0.02/19.9*100</f>
        <v>0.10050251256281408</v>
      </c>
      <c r="H127" s="18">
        <f>0/42.65*100</f>
        <v>0</v>
      </c>
      <c r="I127" s="18">
        <f>0.02/21*100</f>
        <v>9.5238095238095233E-2</v>
      </c>
      <c r="J127" s="18">
        <f>0/42.31*100</f>
        <v>0</v>
      </c>
      <c r="K127" s="18"/>
      <c r="L127"/>
    </row>
    <row r="128" spans="1:12" ht="15.75" x14ac:dyDescent="0.25">
      <c r="B128" s="18"/>
      <c r="C128" s="18"/>
      <c r="D128" s="18"/>
      <c r="E128" s="18"/>
      <c r="F128" s="18"/>
      <c r="G128" s="18">
        <f>SUM(G123:G127)</f>
        <v>100</v>
      </c>
      <c r="H128" s="18">
        <f t="shared" ref="H128:J128" si="14">SUM(H123:H127)</f>
        <v>100</v>
      </c>
      <c r="I128" s="18">
        <f t="shared" si="14"/>
        <v>100.00000000000001</v>
      </c>
      <c r="J128" s="18">
        <f t="shared" si="14"/>
        <v>99.999999999999986</v>
      </c>
      <c r="K128" s="18"/>
      <c r="L128"/>
    </row>
  </sheetData>
  <mergeCells count="4">
    <mergeCell ref="A1:D1"/>
    <mergeCell ref="A69:H69"/>
    <mergeCell ref="A67:B67"/>
    <mergeCell ref="A68:G6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00C3-DF44-4794-8CD5-4EA3000DE0F5}">
  <sheetPr>
    <pageSetUpPr fitToPage="1"/>
  </sheetPr>
  <dimension ref="A1:K193"/>
  <sheetViews>
    <sheetView tabSelected="1" topLeftCell="A158" workbookViewId="0">
      <selection activeCell="L181" sqref="L181"/>
    </sheetView>
  </sheetViews>
  <sheetFormatPr defaultRowHeight="15" x14ac:dyDescent="0.2"/>
  <cols>
    <col min="1" max="1" width="16.28515625" style="8" customWidth="1"/>
    <col min="2" max="2" width="11.28515625" style="8" customWidth="1"/>
    <col min="3" max="3" width="13.140625" style="8" customWidth="1"/>
    <col min="4" max="4" width="14.140625" style="8" customWidth="1"/>
    <col min="5" max="7" width="12.7109375" style="8" bestFit="1" customWidth="1"/>
    <col min="8" max="8" width="9.140625" style="8"/>
    <col min="9" max="9" width="14.28515625" style="8" customWidth="1"/>
    <col min="10" max="10" width="18.140625" style="8" customWidth="1"/>
    <col min="11" max="16384" width="9.140625" style="8"/>
  </cols>
  <sheetData>
    <row r="1" spans="1:4" ht="15.75" x14ac:dyDescent="0.25">
      <c r="A1" s="44" t="s">
        <v>35</v>
      </c>
      <c r="B1" s="44"/>
      <c r="C1" s="44"/>
      <c r="D1" s="44"/>
    </row>
    <row r="2" spans="1:4" x14ac:dyDescent="0.2">
      <c r="A2" s="8" t="s">
        <v>38</v>
      </c>
    </row>
    <row r="3" spans="1:4" s="9" customFormat="1" ht="15.75" x14ac:dyDescent="0.25">
      <c r="A3" s="9" t="s">
        <v>36</v>
      </c>
      <c r="B3" s="10" t="s">
        <v>0</v>
      </c>
      <c r="C3" s="10" t="s">
        <v>6</v>
      </c>
      <c r="D3" s="10" t="s">
        <v>7</v>
      </c>
    </row>
    <row r="4" spans="1:4" x14ac:dyDescent="0.2">
      <c r="A4" s="8" t="s">
        <v>37</v>
      </c>
      <c r="B4" s="11">
        <v>67.25</v>
      </c>
      <c r="C4" s="11">
        <v>97.35</v>
      </c>
      <c r="D4" s="11">
        <v>174.99</v>
      </c>
    </row>
    <row r="5" spans="1:4" x14ac:dyDescent="0.2">
      <c r="A5" s="8" t="s">
        <v>41</v>
      </c>
      <c r="B5" s="11">
        <v>97.33</v>
      </c>
      <c r="C5" s="11">
        <v>119.59</v>
      </c>
      <c r="D5" s="11">
        <v>270.14999999999998</v>
      </c>
    </row>
    <row r="6" spans="1:4" x14ac:dyDescent="0.2">
      <c r="B6" s="11">
        <v>74.59</v>
      </c>
      <c r="C6" s="11">
        <v>152.83000000000001</v>
      </c>
      <c r="D6" s="11">
        <v>175.67</v>
      </c>
    </row>
    <row r="7" spans="1:4" x14ac:dyDescent="0.2">
      <c r="B7" s="11">
        <v>57.88</v>
      </c>
      <c r="C7" s="11">
        <v>107.58</v>
      </c>
      <c r="D7" s="11">
        <v>165.43</v>
      </c>
    </row>
    <row r="8" spans="1:4" x14ac:dyDescent="0.2">
      <c r="B8" s="11">
        <v>54.32</v>
      </c>
      <c r="C8" s="11">
        <v>91.63</v>
      </c>
      <c r="D8" s="11">
        <v>117.82</v>
      </c>
    </row>
    <row r="9" spans="1:4" x14ac:dyDescent="0.2">
      <c r="B9" s="11">
        <v>59.68</v>
      </c>
      <c r="C9" s="11">
        <v>125.24</v>
      </c>
      <c r="D9" s="11">
        <v>168.14</v>
      </c>
    </row>
    <row r="10" spans="1:4" x14ac:dyDescent="0.2">
      <c r="B10" s="11">
        <v>77.680000000000007</v>
      </c>
      <c r="C10" s="11">
        <v>118.05</v>
      </c>
      <c r="D10" s="11">
        <v>248.13</v>
      </c>
    </row>
    <row r="11" spans="1:4" x14ac:dyDescent="0.2">
      <c r="B11" s="11">
        <v>74.989999999999995</v>
      </c>
      <c r="C11" s="11">
        <v>129.84</v>
      </c>
      <c r="D11" s="11">
        <v>170.27</v>
      </c>
    </row>
    <row r="12" spans="1:4" x14ac:dyDescent="0.2">
      <c r="B12" s="11"/>
      <c r="C12" s="11">
        <v>93.04</v>
      </c>
      <c r="D12" s="11">
        <v>193.2</v>
      </c>
    </row>
    <row r="13" spans="1:4" x14ac:dyDescent="0.2">
      <c r="B13" s="11"/>
      <c r="C13" s="11">
        <v>112.2</v>
      </c>
      <c r="D13" s="11">
        <v>184.5</v>
      </c>
    </row>
    <row r="14" spans="1:4" x14ac:dyDescent="0.2">
      <c r="B14" s="11"/>
      <c r="C14" s="11">
        <v>97.51</v>
      </c>
      <c r="D14" s="11">
        <v>173.86</v>
      </c>
    </row>
    <row r="15" spans="1:4" x14ac:dyDescent="0.2">
      <c r="B15" s="11"/>
      <c r="C15" s="11">
        <v>112.17</v>
      </c>
      <c r="D15" s="11">
        <v>216.4</v>
      </c>
    </row>
    <row r="16" spans="1:4" x14ac:dyDescent="0.2">
      <c r="B16" s="11"/>
      <c r="C16" s="11"/>
      <c r="D16" s="11">
        <v>165.84</v>
      </c>
    </row>
    <row r="17" spans="1:11" x14ac:dyDescent="0.2">
      <c r="B17" s="11"/>
      <c r="C17" s="11"/>
      <c r="D17" s="11"/>
    </row>
    <row r="18" spans="1:11" s="7" customFormat="1" ht="15.75" x14ac:dyDescent="0.25">
      <c r="A18" s="23" t="s">
        <v>65</v>
      </c>
      <c r="B18" s="16">
        <f>AVERAGE(B4:B16)</f>
        <v>70.465000000000003</v>
      </c>
      <c r="C18" s="16">
        <f>AVERAGE(C4:C16)</f>
        <v>113.08583333333335</v>
      </c>
      <c r="D18" s="16">
        <f>AVERAGE(D4:D16)</f>
        <v>186.49230769230769</v>
      </c>
    </row>
    <row r="21" spans="1:11" ht="15.75" x14ac:dyDescent="0.25">
      <c r="A21" s="9" t="s">
        <v>39</v>
      </c>
      <c r="B21" s="10" t="s">
        <v>0</v>
      </c>
      <c r="C21" s="10" t="s">
        <v>6</v>
      </c>
      <c r="D21" s="10" t="s">
        <v>7</v>
      </c>
    </row>
    <row r="22" spans="1:11" x14ac:dyDescent="0.2">
      <c r="A22" s="8" t="s">
        <v>40</v>
      </c>
      <c r="B22" s="11">
        <v>0</v>
      </c>
      <c r="C22" s="11">
        <v>125.75</v>
      </c>
      <c r="D22" s="11">
        <v>98.44</v>
      </c>
    </row>
    <row r="23" spans="1:11" x14ac:dyDescent="0.2">
      <c r="A23" s="8" t="s">
        <v>42</v>
      </c>
      <c r="B23" s="11">
        <v>0</v>
      </c>
      <c r="C23" s="11">
        <v>4.1500000000000004</v>
      </c>
      <c r="D23" s="11">
        <v>82.29</v>
      </c>
    </row>
    <row r="24" spans="1:11" x14ac:dyDescent="0.2">
      <c r="B24" s="11">
        <v>0</v>
      </c>
      <c r="C24" s="11">
        <v>47.36</v>
      </c>
      <c r="D24" s="11">
        <v>114.41</v>
      </c>
      <c r="K24" s="11"/>
    </row>
    <row r="25" spans="1:11" x14ac:dyDescent="0.2">
      <c r="B25" s="11">
        <v>0</v>
      </c>
      <c r="C25" s="11">
        <v>150</v>
      </c>
      <c r="D25" s="11">
        <v>121.78</v>
      </c>
      <c r="K25" s="11"/>
    </row>
    <row r="26" spans="1:11" x14ac:dyDescent="0.2">
      <c r="B26" s="11">
        <v>0</v>
      </c>
      <c r="C26" s="11">
        <v>35.17</v>
      </c>
      <c r="D26" s="11">
        <v>106.85</v>
      </c>
      <c r="K26" s="11"/>
    </row>
    <row r="27" spans="1:11" x14ac:dyDescent="0.2">
      <c r="B27" s="11">
        <v>0</v>
      </c>
      <c r="C27" s="11">
        <v>22.37</v>
      </c>
      <c r="D27" s="11">
        <v>122.45</v>
      </c>
      <c r="K27" s="11"/>
    </row>
    <row r="28" spans="1:11" x14ac:dyDescent="0.2">
      <c r="B28" s="11">
        <v>0</v>
      </c>
      <c r="C28" s="11">
        <v>31.88</v>
      </c>
      <c r="D28" s="11">
        <v>120.32</v>
      </c>
      <c r="K28" s="11"/>
    </row>
    <row r="29" spans="1:11" x14ac:dyDescent="0.2">
      <c r="B29" s="11">
        <v>0</v>
      </c>
      <c r="C29" s="11">
        <v>79.42</v>
      </c>
      <c r="D29" s="11">
        <v>121.35</v>
      </c>
      <c r="K29" s="11"/>
    </row>
    <row r="30" spans="1:11" x14ac:dyDescent="0.2">
      <c r="B30" s="11">
        <v>0</v>
      </c>
      <c r="C30" s="11">
        <v>49.43</v>
      </c>
      <c r="D30" s="11">
        <v>118</v>
      </c>
      <c r="K30" s="11"/>
    </row>
    <row r="31" spans="1:11" x14ac:dyDescent="0.2">
      <c r="B31" s="11">
        <v>0</v>
      </c>
      <c r="C31" s="11"/>
      <c r="D31" s="11">
        <v>125.62</v>
      </c>
      <c r="K31" s="11"/>
    </row>
    <row r="32" spans="1:11" x14ac:dyDescent="0.2">
      <c r="B32" s="11">
        <v>0</v>
      </c>
      <c r="C32" s="11"/>
      <c r="D32" s="11">
        <v>177.61</v>
      </c>
      <c r="K32" s="11"/>
    </row>
    <row r="33" spans="1:4" x14ac:dyDescent="0.2">
      <c r="B33" s="11">
        <v>0</v>
      </c>
      <c r="C33" s="11"/>
      <c r="D33" s="11">
        <v>114.71</v>
      </c>
    </row>
    <row r="34" spans="1:4" x14ac:dyDescent="0.2">
      <c r="B34" s="11"/>
      <c r="C34" s="11"/>
      <c r="D34" s="11"/>
    </row>
    <row r="35" spans="1:4" ht="15.75" x14ac:dyDescent="0.25">
      <c r="A35" s="23" t="s">
        <v>64</v>
      </c>
      <c r="B35" s="16">
        <f>AVERAGE(B21:B32)</f>
        <v>0</v>
      </c>
      <c r="C35" s="16">
        <f>AVERAGE(C21:C32)</f>
        <v>60.614444444444445</v>
      </c>
      <c r="D35" s="16">
        <f>AVERAGE(D22:D33)</f>
        <v>118.65249999999999</v>
      </c>
    </row>
    <row r="37" spans="1:4" ht="15.75" x14ac:dyDescent="0.25">
      <c r="A37" s="9" t="s">
        <v>45</v>
      </c>
      <c r="B37" s="10" t="s">
        <v>0</v>
      </c>
      <c r="C37" s="10" t="s">
        <v>6</v>
      </c>
      <c r="D37" s="10" t="s">
        <v>7</v>
      </c>
    </row>
    <row r="38" spans="1:4" x14ac:dyDescent="0.2">
      <c r="A38" s="8" t="s">
        <v>43</v>
      </c>
      <c r="B38" s="11">
        <v>0</v>
      </c>
      <c r="C38" s="11">
        <v>81.798000000000002</v>
      </c>
      <c r="D38" s="11">
        <v>508.03399999999999</v>
      </c>
    </row>
    <row r="39" spans="1:4" x14ac:dyDescent="0.2">
      <c r="A39" s="8" t="s">
        <v>44</v>
      </c>
      <c r="B39" s="11">
        <v>0</v>
      </c>
      <c r="C39" s="11">
        <v>119.16800000000001</v>
      </c>
      <c r="D39" s="11">
        <v>464.37400000000002</v>
      </c>
    </row>
    <row r="40" spans="1:4" x14ac:dyDescent="0.2">
      <c r="B40" s="11">
        <v>0</v>
      </c>
      <c r="C40" s="11">
        <v>60.338000000000001</v>
      </c>
      <c r="D40" s="11">
        <v>529.46</v>
      </c>
    </row>
    <row r="41" spans="1:4" x14ac:dyDescent="0.2">
      <c r="B41" s="11">
        <v>0</v>
      </c>
      <c r="C41" s="11">
        <v>25.558</v>
      </c>
      <c r="D41" s="11">
        <v>343.01600000000002</v>
      </c>
    </row>
    <row r="42" spans="1:4" x14ac:dyDescent="0.2">
      <c r="B42" s="11">
        <v>0</v>
      </c>
      <c r="C42" s="11">
        <v>51.828000000000003</v>
      </c>
      <c r="D42" s="11">
        <v>253.10599999999999</v>
      </c>
    </row>
    <row r="43" spans="1:4" ht="15.75" x14ac:dyDescent="0.25">
      <c r="A43" s="23" t="s">
        <v>63</v>
      </c>
      <c r="B43" s="7">
        <v>0</v>
      </c>
      <c r="C43" s="7">
        <f>AVERAGE(C38:C42)</f>
        <v>67.738000000000014</v>
      </c>
      <c r="D43" s="7">
        <f>AVERAGE(D38:D42)</f>
        <v>419.59799999999996</v>
      </c>
    </row>
    <row r="46" spans="1:4" ht="15.75" x14ac:dyDescent="0.25">
      <c r="A46" s="9" t="s">
        <v>46</v>
      </c>
      <c r="B46" s="10" t="s">
        <v>0</v>
      </c>
      <c r="C46" s="10" t="s">
        <v>6</v>
      </c>
      <c r="D46" s="10" t="s">
        <v>7</v>
      </c>
    </row>
    <row r="47" spans="1:4" x14ac:dyDescent="0.2">
      <c r="A47" s="8" t="s">
        <v>47</v>
      </c>
      <c r="B47" s="11">
        <v>451.04500000000002</v>
      </c>
      <c r="C47" s="11">
        <v>697.84</v>
      </c>
      <c r="D47" s="11">
        <v>1472.94</v>
      </c>
    </row>
    <row r="48" spans="1:4" x14ac:dyDescent="0.2">
      <c r="A48" s="8" t="s">
        <v>175</v>
      </c>
      <c r="B48" s="11">
        <v>612.31500000000005</v>
      </c>
      <c r="C48" s="11">
        <v>744.69</v>
      </c>
      <c r="D48" s="11">
        <v>1555.01</v>
      </c>
    </row>
    <row r="49" spans="1:4" x14ac:dyDescent="0.2">
      <c r="B49" s="11">
        <v>494.35500000000002</v>
      </c>
      <c r="C49" s="11">
        <v>1096.3050000000001</v>
      </c>
      <c r="D49" s="11">
        <v>1340.57</v>
      </c>
    </row>
    <row r="50" spans="1:4" x14ac:dyDescent="0.2">
      <c r="B50" s="11">
        <v>367.29</v>
      </c>
      <c r="C50" s="11">
        <v>986.68</v>
      </c>
      <c r="D50" s="11">
        <v>970.755</v>
      </c>
    </row>
    <row r="51" spans="1:4" ht="15.75" x14ac:dyDescent="0.25">
      <c r="A51" s="23"/>
      <c r="B51" s="11">
        <v>324.995</v>
      </c>
      <c r="C51" s="11">
        <v>1128.49</v>
      </c>
      <c r="D51" s="11">
        <v>1072.29</v>
      </c>
    </row>
    <row r="52" spans="1:4" ht="15.75" x14ac:dyDescent="0.25">
      <c r="D52" s="16"/>
    </row>
    <row r="53" spans="1:4" ht="15.75" x14ac:dyDescent="0.25">
      <c r="A53" s="23" t="s">
        <v>176</v>
      </c>
      <c r="B53" s="16">
        <f>AVERAGE(B47:B51)</f>
        <v>450</v>
      </c>
      <c r="C53" s="16">
        <f>AVERAGE(C47:C51)</f>
        <v>930.80100000000004</v>
      </c>
      <c r="D53" s="16">
        <f>AVERAGE(D47:D51)</f>
        <v>1282.3129999999999</v>
      </c>
    </row>
    <row r="54" spans="1:4" ht="15.75" x14ac:dyDescent="0.25">
      <c r="A54" s="18" t="s">
        <v>62</v>
      </c>
      <c r="B54" s="16">
        <v>0.5</v>
      </c>
      <c r="C54" s="16">
        <v>0.93</v>
      </c>
      <c r="D54" s="16">
        <v>1.28</v>
      </c>
    </row>
    <row r="56" spans="1:4" s="9" customFormat="1" ht="15.75" x14ac:dyDescent="0.25">
      <c r="A56" s="9" t="s">
        <v>48</v>
      </c>
      <c r="B56" s="10" t="s">
        <v>0</v>
      </c>
      <c r="C56" s="10" t="s">
        <v>7</v>
      </c>
      <c r="D56" s="10" t="s">
        <v>3</v>
      </c>
    </row>
    <row r="57" spans="1:4" x14ac:dyDescent="0.2">
      <c r="A57" s="8" t="s">
        <v>49</v>
      </c>
      <c r="B57" s="11">
        <v>93.25</v>
      </c>
      <c r="C57" s="11">
        <v>143.46</v>
      </c>
      <c r="D57" s="11">
        <v>859.99</v>
      </c>
    </row>
    <row r="58" spans="1:4" x14ac:dyDescent="0.2">
      <c r="A58" s="8" t="s">
        <v>50</v>
      </c>
      <c r="B58" s="11">
        <v>70.12</v>
      </c>
      <c r="C58" s="11">
        <v>171.23</v>
      </c>
      <c r="D58" s="11">
        <v>381.38</v>
      </c>
    </row>
    <row r="59" spans="1:4" x14ac:dyDescent="0.2">
      <c r="B59" s="11">
        <v>81.510000000000005</v>
      </c>
      <c r="C59" s="11">
        <v>213.9</v>
      </c>
      <c r="D59" s="11">
        <v>342.08</v>
      </c>
    </row>
    <row r="60" spans="1:4" x14ac:dyDescent="0.2">
      <c r="B60" s="11">
        <v>103.11</v>
      </c>
      <c r="C60" s="11">
        <v>187.22</v>
      </c>
      <c r="D60" s="11">
        <v>413.76</v>
      </c>
    </row>
    <row r="61" spans="1:4" x14ac:dyDescent="0.2">
      <c r="B61" s="11">
        <v>78.7</v>
      </c>
      <c r="C61" s="11">
        <v>162.01</v>
      </c>
      <c r="D61" s="11">
        <v>331.78</v>
      </c>
    </row>
    <row r="62" spans="1:4" x14ac:dyDescent="0.2">
      <c r="B62" s="11">
        <v>71.349999999999994</v>
      </c>
      <c r="C62" s="11">
        <v>182.57</v>
      </c>
      <c r="D62" s="11">
        <v>489.83</v>
      </c>
    </row>
    <row r="63" spans="1:4" x14ac:dyDescent="0.2">
      <c r="B63" s="11">
        <v>73.290000000000006</v>
      </c>
      <c r="C63" s="11">
        <v>136.75</v>
      </c>
      <c r="D63" s="11">
        <v>450.7</v>
      </c>
    </row>
    <row r="64" spans="1:4" x14ac:dyDescent="0.2">
      <c r="B64" s="11">
        <v>63.03</v>
      </c>
      <c r="C64" s="11">
        <v>167.58</v>
      </c>
      <c r="D64" s="11">
        <v>333.31</v>
      </c>
    </row>
    <row r="65" spans="1:4" x14ac:dyDescent="0.2">
      <c r="B65" s="11">
        <v>78.489999999999995</v>
      </c>
      <c r="C65" s="11">
        <v>170.2</v>
      </c>
      <c r="D65" s="11">
        <v>525.21</v>
      </c>
    </row>
    <row r="66" spans="1:4" x14ac:dyDescent="0.2">
      <c r="B66" s="11">
        <v>71.88</v>
      </c>
      <c r="C66" s="11">
        <v>182.38</v>
      </c>
      <c r="D66" s="11">
        <v>392.15</v>
      </c>
    </row>
    <row r="67" spans="1:4" x14ac:dyDescent="0.2">
      <c r="B67" s="11">
        <v>56.79</v>
      </c>
      <c r="C67" s="11">
        <v>179.14</v>
      </c>
      <c r="D67" s="11"/>
    </row>
    <row r="68" spans="1:4" x14ac:dyDescent="0.2">
      <c r="B68" s="11">
        <v>102.83</v>
      </c>
      <c r="C68" s="11"/>
      <c r="D68" s="11"/>
    </row>
    <row r="70" spans="1:4" s="7" customFormat="1" ht="15.75" x14ac:dyDescent="0.25">
      <c r="A70" s="23" t="s">
        <v>65</v>
      </c>
      <c r="B70" s="16">
        <f>AVERAGE(B57:B68)</f>
        <v>78.695833333333326</v>
      </c>
      <c r="C70" s="16">
        <f>AVERAGE(C57:C68)</f>
        <v>172.40363636363637</v>
      </c>
      <c r="D70" s="16">
        <f>AVERAGE(D57:D68)</f>
        <v>452.01899999999989</v>
      </c>
    </row>
    <row r="72" spans="1:4" s="9" customFormat="1" ht="15.75" x14ac:dyDescent="0.25">
      <c r="A72" s="9" t="s">
        <v>51</v>
      </c>
      <c r="B72" s="10" t="s">
        <v>0</v>
      </c>
      <c r="C72" s="10" t="s">
        <v>7</v>
      </c>
      <c r="D72" s="10" t="s">
        <v>3</v>
      </c>
    </row>
    <row r="73" spans="1:4" x14ac:dyDescent="0.2">
      <c r="A73" s="8" t="s">
        <v>40</v>
      </c>
      <c r="B73" s="11">
        <v>0</v>
      </c>
      <c r="C73" s="11">
        <v>200.42</v>
      </c>
      <c r="D73" s="11">
        <v>779.6</v>
      </c>
    </row>
    <row r="74" spans="1:4" x14ac:dyDescent="0.2">
      <c r="A74" s="8" t="s">
        <v>42</v>
      </c>
      <c r="B74" s="11">
        <v>0</v>
      </c>
      <c r="C74" s="11">
        <v>89.94</v>
      </c>
      <c r="D74" s="11">
        <v>614.54999999999995</v>
      </c>
    </row>
    <row r="75" spans="1:4" x14ac:dyDescent="0.2">
      <c r="B75" s="11">
        <v>0</v>
      </c>
      <c r="C75" s="11">
        <v>124.76</v>
      </c>
      <c r="D75" s="11">
        <v>376</v>
      </c>
    </row>
    <row r="76" spans="1:4" x14ac:dyDescent="0.2">
      <c r="B76" s="11">
        <v>0</v>
      </c>
      <c r="C76" s="11">
        <v>240.26</v>
      </c>
      <c r="D76" s="11">
        <v>249.55</v>
      </c>
    </row>
    <row r="77" spans="1:4" x14ac:dyDescent="0.2">
      <c r="B77" s="11">
        <v>0</v>
      </c>
      <c r="C77" s="11">
        <v>178.96</v>
      </c>
      <c r="D77" s="11">
        <v>637.35</v>
      </c>
    </row>
    <row r="78" spans="1:4" x14ac:dyDescent="0.2">
      <c r="B78" s="11">
        <v>0</v>
      </c>
      <c r="C78" s="11">
        <v>140.9</v>
      </c>
      <c r="D78" s="11">
        <v>577.5</v>
      </c>
    </row>
    <row r="79" spans="1:4" x14ac:dyDescent="0.2">
      <c r="B79" s="11">
        <v>0</v>
      </c>
      <c r="C79" s="11">
        <v>164.9</v>
      </c>
      <c r="D79" s="11">
        <v>515.75</v>
      </c>
    </row>
    <row r="80" spans="1:4" x14ac:dyDescent="0.2">
      <c r="B80" s="11">
        <v>0</v>
      </c>
      <c r="C80" s="11">
        <v>188.7</v>
      </c>
      <c r="D80" s="11">
        <v>355.35</v>
      </c>
    </row>
    <row r="81" spans="1:4" x14ac:dyDescent="0.2">
      <c r="B81" s="11">
        <v>0</v>
      </c>
      <c r="C81" s="11">
        <v>175.8</v>
      </c>
      <c r="D81" s="11"/>
    </row>
    <row r="82" spans="1:4" x14ac:dyDescent="0.2">
      <c r="B82" s="11">
        <v>0</v>
      </c>
      <c r="C82" s="11">
        <v>108.78</v>
      </c>
      <c r="D82" s="11"/>
    </row>
    <row r="83" spans="1:4" x14ac:dyDescent="0.2">
      <c r="B83" s="11"/>
      <c r="C83" s="11"/>
      <c r="D83" s="11"/>
    </row>
    <row r="84" spans="1:4" s="7" customFormat="1" ht="15.75" x14ac:dyDescent="0.25">
      <c r="A84" s="23" t="s">
        <v>15</v>
      </c>
      <c r="B84" s="7">
        <f>AVERAGE(B73:B82)</f>
        <v>0</v>
      </c>
      <c r="C84" s="7">
        <f>AVERAGE(C73:C82)</f>
        <v>161.34200000000001</v>
      </c>
      <c r="D84" s="7">
        <f>AVERAGE(D73:D82)</f>
        <v>513.20625000000007</v>
      </c>
    </row>
    <row r="86" spans="1:4" ht="15.75" x14ac:dyDescent="0.25">
      <c r="A86" s="9" t="s">
        <v>53</v>
      </c>
      <c r="B86" s="10" t="s">
        <v>0</v>
      </c>
      <c r="C86" s="10" t="s">
        <v>7</v>
      </c>
      <c r="D86" s="10" t="s">
        <v>3</v>
      </c>
    </row>
    <row r="87" spans="1:4" x14ac:dyDescent="0.2">
      <c r="A87" s="8" t="s">
        <v>52</v>
      </c>
      <c r="B87" s="11">
        <v>197.13</v>
      </c>
      <c r="C87" s="11">
        <v>453.2</v>
      </c>
      <c r="D87" s="11">
        <v>1301.2</v>
      </c>
    </row>
    <row r="88" spans="1:4" x14ac:dyDescent="0.2">
      <c r="A88" s="8" t="s">
        <v>42</v>
      </c>
      <c r="B88" s="11">
        <v>191.23</v>
      </c>
      <c r="C88" s="11">
        <v>393.6</v>
      </c>
      <c r="D88" s="11">
        <v>1028.2</v>
      </c>
    </row>
    <row r="89" spans="1:4" x14ac:dyDescent="0.2">
      <c r="B89" s="11">
        <v>161.76</v>
      </c>
      <c r="C89" s="11">
        <v>301.77999999999997</v>
      </c>
      <c r="D89" s="11">
        <v>1161.28</v>
      </c>
    </row>
    <row r="90" spans="1:4" x14ac:dyDescent="0.2">
      <c r="B90" s="11">
        <v>188.35</v>
      </c>
      <c r="C90" s="11">
        <v>362.82</v>
      </c>
      <c r="D90" s="11">
        <v>2236.44</v>
      </c>
    </row>
    <row r="91" spans="1:4" x14ac:dyDescent="0.2">
      <c r="B91" s="11">
        <v>174.34</v>
      </c>
      <c r="C91" s="11">
        <v>371.46</v>
      </c>
      <c r="D91" s="11">
        <v>1078.76</v>
      </c>
    </row>
    <row r="92" spans="1:4" x14ac:dyDescent="0.2">
      <c r="B92" s="11"/>
      <c r="C92" s="11">
        <v>437.48</v>
      </c>
      <c r="D92" s="11">
        <v>942.8</v>
      </c>
    </row>
    <row r="93" spans="1:4" x14ac:dyDescent="0.2">
      <c r="B93" s="11"/>
      <c r="C93" s="11">
        <v>334.66</v>
      </c>
      <c r="D93" s="11">
        <v>1550.32</v>
      </c>
    </row>
    <row r="94" spans="1:4" x14ac:dyDescent="0.2">
      <c r="B94" s="11"/>
      <c r="C94" s="11">
        <v>338.98</v>
      </c>
      <c r="D94" s="11">
        <v>921.6</v>
      </c>
    </row>
    <row r="95" spans="1:4" x14ac:dyDescent="0.2">
      <c r="B95" s="11"/>
      <c r="C95" s="11">
        <v>449.54</v>
      </c>
      <c r="D95" s="11"/>
    </row>
    <row r="96" spans="1:4" x14ac:dyDescent="0.2">
      <c r="B96" s="11"/>
      <c r="C96" s="11">
        <v>509.52</v>
      </c>
      <c r="D96" s="11"/>
    </row>
    <row r="97" spans="1:4" x14ac:dyDescent="0.2">
      <c r="B97" s="11"/>
      <c r="C97" s="11"/>
      <c r="D97" s="11"/>
    </row>
    <row r="98" spans="1:4" s="7" customFormat="1" ht="15.75" x14ac:dyDescent="0.25">
      <c r="A98" s="23" t="s">
        <v>66</v>
      </c>
      <c r="B98" s="7">
        <f>AVERAGE(B87:B96)</f>
        <v>182.56200000000001</v>
      </c>
      <c r="C98" s="7">
        <f>AVERAGE(C87:C96)</f>
        <v>395.30399999999997</v>
      </c>
      <c r="D98" s="7">
        <f>AVERAGE(D87:D96)</f>
        <v>1277.5750000000003</v>
      </c>
    </row>
    <row r="100" spans="1:4" ht="15.75" x14ac:dyDescent="0.25">
      <c r="A100" s="9" t="s">
        <v>54</v>
      </c>
      <c r="B100" s="10" t="s">
        <v>0</v>
      </c>
      <c r="C100" s="10" t="s">
        <v>7</v>
      </c>
      <c r="D100" s="10" t="s">
        <v>3</v>
      </c>
    </row>
    <row r="101" spans="1:4" x14ac:dyDescent="0.2">
      <c r="A101" s="8" t="s">
        <v>55</v>
      </c>
      <c r="B101" s="14">
        <v>0</v>
      </c>
      <c r="C101" s="14">
        <v>132.26</v>
      </c>
      <c r="D101" s="14">
        <v>445.65</v>
      </c>
    </row>
    <row r="102" spans="1:4" x14ac:dyDescent="0.2">
      <c r="A102" s="8" t="s">
        <v>67</v>
      </c>
      <c r="B102" s="14">
        <v>0</v>
      </c>
      <c r="C102" s="14">
        <v>80.48</v>
      </c>
      <c r="D102" s="14">
        <v>351.6</v>
      </c>
    </row>
    <row r="103" spans="1:4" x14ac:dyDescent="0.2">
      <c r="B103" s="14">
        <v>0</v>
      </c>
      <c r="C103" s="14">
        <v>84.54</v>
      </c>
      <c r="D103" s="14">
        <v>212</v>
      </c>
    </row>
    <row r="104" spans="1:4" x14ac:dyDescent="0.2">
      <c r="B104" s="14">
        <v>0</v>
      </c>
      <c r="C104" s="14">
        <v>122.56</v>
      </c>
      <c r="D104" s="14">
        <v>155.94999999999999</v>
      </c>
    </row>
    <row r="105" spans="1:4" x14ac:dyDescent="0.2">
      <c r="B105" s="14">
        <v>0</v>
      </c>
      <c r="C105" s="14">
        <v>105.9</v>
      </c>
      <c r="D105" s="14">
        <v>62.84</v>
      </c>
    </row>
    <row r="106" spans="1:4" x14ac:dyDescent="0.2">
      <c r="B106" s="14">
        <v>0</v>
      </c>
      <c r="C106" s="14">
        <v>58.36</v>
      </c>
      <c r="D106" s="14">
        <v>703.2</v>
      </c>
    </row>
    <row r="107" spans="1:4" x14ac:dyDescent="0.2">
      <c r="B107" s="14">
        <v>0</v>
      </c>
      <c r="C107" s="14">
        <v>49.58</v>
      </c>
      <c r="D107" s="14">
        <v>50.94</v>
      </c>
    </row>
    <row r="108" spans="1:4" x14ac:dyDescent="0.2">
      <c r="B108" s="14">
        <v>0</v>
      </c>
      <c r="C108" s="14">
        <v>42.26</v>
      </c>
      <c r="D108" s="14">
        <v>17.82</v>
      </c>
    </row>
    <row r="109" spans="1:4" x14ac:dyDescent="0.2">
      <c r="B109" s="14">
        <v>0</v>
      </c>
      <c r="C109" s="14">
        <v>30.42</v>
      </c>
      <c r="D109" s="14"/>
    </row>
    <row r="110" spans="1:4" x14ac:dyDescent="0.2">
      <c r="B110" s="14">
        <v>0</v>
      </c>
      <c r="C110" s="14">
        <v>32.54</v>
      </c>
      <c r="D110" s="14"/>
    </row>
    <row r="111" spans="1:4" x14ac:dyDescent="0.2">
      <c r="B111" s="18"/>
      <c r="C111" s="18"/>
      <c r="D111" s="18"/>
    </row>
    <row r="112" spans="1:4" s="7" customFormat="1" ht="15.75" x14ac:dyDescent="0.25">
      <c r="A112" s="23" t="s">
        <v>64</v>
      </c>
      <c r="B112" s="23">
        <f>AVERAGE(B101:B110)</f>
        <v>0</v>
      </c>
      <c r="C112" s="23">
        <f>AVERAGE(C101:C110)</f>
        <v>73.89</v>
      </c>
      <c r="D112" s="23">
        <f>AVERAGE(D101:D110)</f>
        <v>250</v>
      </c>
    </row>
    <row r="114" spans="1:4" s="9" customFormat="1" ht="15.75" x14ac:dyDescent="0.25">
      <c r="A114" s="9" t="s">
        <v>57</v>
      </c>
      <c r="B114" s="10" t="s">
        <v>0</v>
      </c>
      <c r="C114" s="10" t="s">
        <v>7</v>
      </c>
      <c r="D114" s="10" t="s">
        <v>4</v>
      </c>
    </row>
    <row r="115" spans="1:4" x14ac:dyDescent="0.2">
      <c r="A115" s="8" t="s">
        <v>56</v>
      </c>
      <c r="B115" s="14">
        <v>27.3</v>
      </c>
      <c r="C115" s="14">
        <v>25.4</v>
      </c>
      <c r="D115" s="14">
        <v>16.7</v>
      </c>
    </row>
    <row r="116" spans="1:4" x14ac:dyDescent="0.2">
      <c r="A116" s="8" t="s">
        <v>68</v>
      </c>
      <c r="B116" s="14">
        <v>25.9</v>
      </c>
      <c r="C116" s="14">
        <v>21.1</v>
      </c>
      <c r="D116" s="14">
        <v>16.8</v>
      </c>
    </row>
    <row r="117" spans="1:4" x14ac:dyDescent="0.2">
      <c r="B117" s="14">
        <v>26.3</v>
      </c>
      <c r="C117" s="14">
        <v>20.2</v>
      </c>
      <c r="D117" s="14">
        <v>17.2</v>
      </c>
    </row>
    <row r="118" spans="1:4" x14ac:dyDescent="0.2">
      <c r="B118" s="14">
        <v>22</v>
      </c>
      <c r="C118" s="14">
        <v>26.8</v>
      </c>
      <c r="D118" s="14">
        <v>14.3</v>
      </c>
    </row>
    <row r="119" spans="1:4" x14ac:dyDescent="0.2">
      <c r="B119" s="14">
        <v>25.2</v>
      </c>
      <c r="C119" s="14">
        <v>24.4</v>
      </c>
      <c r="D119" s="14">
        <v>22.8</v>
      </c>
    </row>
    <row r="120" spans="1:4" x14ac:dyDescent="0.2">
      <c r="B120" s="14">
        <v>29.3</v>
      </c>
      <c r="C120" s="14">
        <v>26.9</v>
      </c>
      <c r="D120" s="14">
        <v>12.9</v>
      </c>
    </row>
    <row r="121" spans="1:4" x14ac:dyDescent="0.2">
      <c r="B121" s="14">
        <v>28.4</v>
      </c>
      <c r="C121" s="14">
        <v>25.2</v>
      </c>
      <c r="D121" s="14">
        <v>12.3</v>
      </c>
    </row>
    <row r="122" spans="1:4" x14ac:dyDescent="0.2">
      <c r="B122" s="14">
        <v>29.9</v>
      </c>
      <c r="C122" s="14">
        <v>26.1</v>
      </c>
      <c r="D122" s="14">
        <v>8.3000000000000007</v>
      </c>
    </row>
    <row r="123" spans="1:4" x14ac:dyDescent="0.2">
      <c r="B123" s="14">
        <v>23.7</v>
      </c>
      <c r="C123" s="14">
        <v>19.399999999999999</v>
      </c>
      <c r="D123" s="14"/>
    </row>
    <row r="124" spans="1:4" x14ac:dyDescent="0.2">
      <c r="B124" s="14">
        <v>24.6</v>
      </c>
      <c r="C124" s="14">
        <v>18.3</v>
      </c>
      <c r="D124" s="14"/>
    </row>
    <row r="125" spans="1:4" x14ac:dyDescent="0.2">
      <c r="B125" s="14">
        <v>21.3</v>
      </c>
      <c r="C125" s="14">
        <v>19.8</v>
      </c>
      <c r="D125" s="14"/>
    </row>
    <row r="126" spans="1:4" x14ac:dyDescent="0.2">
      <c r="B126" s="14">
        <v>25.7</v>
      </c>
      <c r="C126" s="14">
        <v>18.399999999999999</v>
      </c>
      <c r="D126" s="14"/>
    </row>
    <row r="127" spans="1:4" x14ac:dyDescent="0.2">
      <c r="B127" s="14">
        <v>25.5</v>
      </c>
      <c r="C127" s="14"/>
      <c r="D127" s="14"/>
    </row>
    <row r="129" spans="1:4" s="7" customFormat="1" ht="15.75" x14ac:dyDescent="0.25">
      <c r="A129" s="23" t="s">
        <v>69</v>
      </c>
      <c r="B129" s="7">
        <f>AVERAGE(B115:B127)</f>
        <v>25.776923076923079</v>
      </c>
      <c r="C129" s="7">
        <f>AVERAGE(C115:C127)</f>
        <v>22.666666666666668</v>
      </c>
      <c r="D129" s="7">
        <f>AVERAGE(D115:D127)</f>
        <v>15.1625</v>
      </c>
    </row>
    <row r="131" spans="1:4" s="9" customFormat="1" ht="15.75" x14ac:dyDescent="0.25">
      <c r="A131" s="9" t="s">
        <v>58</v>
      </c>
      <c r="B131" s="10" t="s">
        <v>0</v>
      </c>
      <c r="C131" s="10" t="s">
        <v>7</v>
      </c>
      <c r="D131" s="10" t="s">
        <v>4</v>
      </c>
    </row>
    <row r="132" spans="1:4" x14ac:dyDescent="0.2">
      <c r="A132" s="8" t="s">
        <v>37</v>
      </c>
      <c r="B132" s="11">
        <v>97.13</v>
      </c>
      <c r="C132" s="11">
        <v>237.69</v>
      </c>
      <c r="D132" s="11">
        <v>401.5</v>
      </c>
    </row>
    <row r="133" spans="1:4" x14ac:dyDescent="0.2">
      <c r="A133" s="8" t="s">
        <v>41</v>
      </c>
      <c r="B133" s="11">
        <v>81.09</v>
      </c>
      <c r="C133" s="11">
        <v>147.83000000000001</v>
      </c>
      <c r="D133" s="11">
        <v>520.72</v>
      </c>
    </row>
    <row r="134" spans="1:4" x14ac:dyDescent="0.2">
      <c r="B134" s="11">
        <v>84.58</v>
      </c>
      <c r="C134" s="11">
        <v>252.58</v>
      </c>
      <c r="D134" s="11">
        <v>264.02999999999997</v>
      </c>
    </row>
    <row r="135" spans="1:4" x14ac:dyDescent="0.2">
      <c r="B135" s="11">
        <v>70.48</v>
      </c>
      <c r="C135" s="11">
        <v>196.29</v>
      </c>
      <c r="D135" s="11">
        <v>278.83999999999997</v>
      </c>
    </row>
    <row r="136" spans="1:4" x14ac:dyDescent="0.2">
      <c r="B136" s="11">
        <v>77.33</v>
      </c>
      <c r="C136" s="11">
        <v>134.96</v>
      </c>
      <c r="D136" s="11">
        <v>378.98</v>
      </c>
    </row>
    <row r="137" spans="1:4" x14ac:dyDescent="0.2">
      <c r="B137" s="11">
        <v>73.77</v>
      </c>
      <c r="C137" s="11">
        <v>143.04</v>
      </c>
      <c r="D137" s="11">
        <v>355.24</v>
      </c>
    </row>
    <row r="138" spans="1:4" x14ac:dyDescent="0.2">
      <c r="B138" s="11">
        <v>83.67</v>
      </c>
      <c r="C138" s="11"/>
      <c r="D138" s="11">
        <v>237.05</v>
      </c>
    </row>
    <row r="139" spans="1:4" x14ac:dyDescent="0.2">
      <c r="B139" s="11">
        <v>69.36</v>
      </c>
      <c r="C139" s="11"/>
      <c r="D139" s="11">
        <v>759.82</v>
      </c>
    </row>
    <row r="140" spans="1:4" x14ac:dyDescent="0.2">
      <c r="B140" s="11">
        <v>81.69</v>
      </c>
      <c r="C140" s="11"/>
      <c r="D140" s="11">
        <v>504.47</v>
      </c>
    </row>
    <row r="141" spans="1:4" x14ac:dyDescent="0.2">
      <c r="B141" s="11"/>
      <c r="C141" s="11"/>
      <c r="D141" s="11">
        <v>429.66</v>
      </c>
    </row>
    <row r="142" spans="1:4" x14ac:dyDescent="0.2">
      <c r="B142" s="11"/>
      <c r="C142" s="11"/>
      <c r="D142" s="11"/>
    </row>
    <row r="143" spans="1:4" s="7" customFormat="1" ht="15.75" x14ac:dyDescent="0.25">
      <c r="A143" s="23" t="s">
        <v>70</v>
      </c>
      <c r="B143" s="7">
        <f>AVERAGE(B132:B141)</f>
        <v>79.899999999999991</v>
      </c>
      <c r="C143" s="7">
        <f>AVERAGE(C132:C141)</f>
        <v>185.39833333333334</v>
      </c>
      <c r="D143" s="7">
        <f>AVERAGE(D132:D141)</f>
        <v>413.03100000000006</v>
      </c>
    </row>
    <row r="145" spans="1:4" s="9" customFormat="1" ht="15.75" x14ac:dyDescent="0.25">
      <c r="A145" s="9" t="s">
        <v>59</v>
      </c>
      <c r="B145" s="10" t="s">
        <v>0</v>
      </c>
      <c r="C145" s="10" t="s">
        <v>7</v>
      </c>
      <c r="D145" s="10" t="s">
        <v>4</v>
      </c>
    </row>
    <row r="146" spans="1:4" x14ac:dyDescent="0.2">
      <c r="A146" s="8" t="s">
        <v>43</v>
      </c>
      <c r="B146" s="14">
        <v>0</v>
      </c>
      <c r="C146" s="14">
        <v>91.418000000000006</v>
      </c>
      <c r="D146" s="14">
        <v>166.52600000000001</v>
      </c>
    </row>
    <row r="147" spans="1:4" x14ac:dyDescent="0.2">
      <c r="A147" s="8" t="s">
        <v>29</v>
      </c>
      <c r="B147" s="14">
        <v>0</v>
      </c>
      <c r="C147" s="14">
        <v>71.808000000000007</v>
      </c>
      <c r="D147" s="14">
        <v>274.56599999999997</v>
      </c>
    </row>
    <row r="148" spans="1:4" x14ac:dyDescent="0.2">
      <c r="B148" s="14">
        <v>0</v>
      </c>
      <c r="C148" s="14">
        <v>125.626</v>
      </c>
      <c r="D148" s="14">
        <v>155.488</v>
      </c>
    </row>
    <row r="149" spans="1:4" x14ac:dyDescent="0.2">
      <c r="B149" s="14">
        <v>0</v>
      </c>
      <c r="C149" s="14"/>
      <c r="D149" s="14">
        <v>226.83600000000001</v>
      </c>
    </row>
    <row r="150" spans="1:4" x14ac:dyDescent="0.2">
      <c r="B150" s="14">
        <v>0</v>
      </c>
      <c r="C150" s="14"/>
      <c r="D150" s="14">
        <v>211.29599999999999</v>
      </c>
    </row>
    <row r="151" spans="1:4" x14ac:dyDescent="0.2">
      <c r="B151" s="14">
        <v>0</v>
      </c>
      <c r="C151" s="14"/>
      <c r="D151" s="14"/>
    </row>
    <row r="152" spans="1:4" x14ac:dyDescent="0.2">
      <c r="B152" s="14"/>
      <c r="C152" s="14"/>
      <c r="D152" s="14"/>
    </row>
    <row r="153" spans="1:4" ht="15.75" x14ac:dyDescent="0.25">
      <c r="A153" s="23" t="s">
        <v>63</v>
      </c>
      <c r="B153" s="8">
        <f>AVERAGE(B146:B151)</f>
        <v>0</v>
      </c>
      <c r="C153" s="8">
        <f>AVERAGE(C146:C151)</f>
        <v>96.283999999999992</v>
      </c>
      <c r="D153" s="8">
        <f>AVERAGE(D146:D151)</f>
        <v>206.94239999999999</v>
      </c>
    </row>
    <row r="155" spans="1:4" s="9" customFormat="1" ht="15.75" x14ac:dyDescent="0.25">
      <c r="A155" s="9" t="s">
        <v>60</v>
      </c>
      <c r="B155" s="10" t="s">
        <v>0</v>
      </c>
      <c r="C155" s="10" t="s">
        <v>7</v>
      </c>
      <c r="D155" s="10" t="s">
        <v>4</v>
      </c>
    </row>
    <row r="156" spans="1:4" x14ac:dyDescent="0.2">
      <c r="A156" s="8" t="s">
        <v>47</v>
      </c>
      <c r="B156" s="11">
        <v>177.96</v>
      </c>
      <c r="C156" s="11">
        <v>1078.8599999999999</v>
      </c>
      <c r="D156" s="11">
        <v>2044.3050000000001</v>
      </c>
    </row>
    <row r="157" spans="1:4" x14ac:dyDescent="0.2">
      <c r="A157" s="8" t="s">
        <v>175</v>
      </c>
      <c r="B157" s="11">
        <v>142.405</v>
      </c>
      <c r="C157" s="11">
        <v>1111.8900000000001</v>
      </c>
      <c r="D157" s="11">
        <v>1449.095</v>
      </c>
    </row>
    <row r="158" spans="1:4" x14ac:dyDescent="0.2">
      <c r="B158" s="11">
        <v>81.569999999999993</v>
      </c>
      <c r="C158" s="11">
        <v>1537.82</v>
      </c>
      <c r="D158" s="11">
        <v>1334.5050000000001</v>
      </c>
    </row>
    <row r="159" spans="1:4" x14ac:dyDescent="0.2">
      <c r="B159" s="11">
        <v>306.79500000000002</v>
      </c>
      <c r="C159" s="11"/>
      <c r="D159" s="11">
        <v>1792.2850000000001</v>
      </c>
    </row>
    <row r="160" spans="1:4" x14ac:dyDescent="0.2">
      <c r="B160" s="11">
        <v>404.28</v>
      </c>
      <c r="C160" s="11"/>
      <c r="D160" s="11"/>
    </row>
    <row r="161" spans="1:11" x14ac:dyDescent="0.2">
      <c r="B161" s="11">
        <v>384.565</v>
      </c>
      <c r="C161" s="11"/>
      <c r="D161" s="11"/>
    </row>
    <row r="163" spans="1:11" s="7" customFormat="1" ht="15.75" x14ac:dyDescent="0.25">
      <c r="A163" s="23" t="s">
        <v>61</v>
      </c>
      <c r="B163" s="7">
        <f>AVERAGE(B156:B161)</f>
        <v>249.59583333333333</v>
      </c>
      <c r="C163" s="7">
        <f>AVERAGE(C156:C161)</f>
        <v>1242.8566666666666</v>
      </c>
      <c r="D163" s="7">
        <f>AVERAGE(D156:D161)</f>
        <v>1655.0475000000001</v>
      </c>
    </row>
    <row r="164" spans="1:11" ht="15.75" x14ac:dyDescent="0.25">
      <c r="A164" s="23" t="s">
        <v>62</v>
      </c>
      <c r="B164" s="11">
        <v>0.25</v>
      </c>
      <c r="C164" s="8">
        <v>1.24</v>
      </c>
      <c r="D164" s="8">
        <v>1.66</v>
      </c>
    </row>
    <row r="166" spans="1:11" ht="15.75" x14ac:dyDescent="0.25">
      <c r="A166" s="30" t="s">
        <v>71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1:11" ht="18.75" x14ac:dyDescent="0.25">
      <c r="A167" s="25"/>
      <c r="B167" s="25"/>
      <c r="C167" s="25"/>
      <c r="D167" s="25"/>
      <c r="E167" s="25"/>
      <c r="F167" s="25"/>
      <c r="G167" s="25"/>
      <c r="H167" s="25"/>
      <c r="I167" s="26" t="s">
        <v>72</v>
      </c>
      <c r="J167" s="26" t="s">
        <v>177</v>
      </c>
      <c r="K167" s="25"/>
    </row>
    <row r="168" spans="1:11" ht="15.75" x14ac:dyDescent="0.25">
      <c r="A168" s="26" t="s">
        <v>73</v>
      </c>
      <c r="B168" s="30" t="s">
        <v>74</v>
      </c>
      <c r="C168" s="42">
        <v>3499</v>
      </c>
      <c r="D168" s="42">
        <v>4183</v>
      </c>
      <c r="E168" s="42">
        <v>6510</v>
      </c>
      <c r="F168" s="42">
        <v>9099</v>
      </c>
      <c r="G168" s="42"/>
      <c r="H168" s="25"/>
      <c r="I168" s="25">
        <v>5822.75</v>
      </c>
      <c r="J168" s="25">
        <v>5.8227500000000001E-2</v>
      </c>
      <c r="K168" s="25"/>
    </row>
    <row r="169" spans="1:11" ht="15.75" x14ac:dyDescent="0.25">
      <c r="A169" s="25"/>
      <c r="B169" s="30" t="s">
        <v>75</v>
      </c>
      <c r="C169" s="42">
        <v>25389</v>
      </c>
      <c r="D169" s="42">
        <v>19986</v>
      </c>
      <c r="E169" s="42">
        <v>13663</v>
      </c>
      <c r="F169" s="42">
        <v>23718</v>
      </c>
      <c r="G169" s="42">
        <v>18384</v>
      </c>
      <c r="H169" s="25"/>
      <c r="I169" s="25">
        <v>20228</v>
      </c>
      <c r="J169" s="25">
        <v>0.20228000000000002</v>
      </c>
      <c r="K169" s="25"/>
    </row>
    <row r="170" spans="1:11" ht="15.75" x14ac:dyDescent="0.25">
      <c r="A170" s="25"/>
      <c r="B170" s="30" t="s">
        <v>76</v>
      </c>
      <c r="C170" s="42">
        <v>9914</v>
      </c>
      <c r="D170" s="42">
        <v>12079</v>
      </c>
      <c r="E170" s="42">
        <v>9443</v>
      </c>
      <c r="F170" s="42">
        <v>12327</v>
      </c>
      <c r="G170" s="42">
        <v>17160</v>
      </c>
      <c r="H170" s="25"/>
      <c r="I170" s="25">
        <v>12184.6</v>
      </c>
      <c r="J170" s="25">
        <v>0.121846</v>
      </c>
      <c r="K170" s="25"/>
    </row>
    <row r="171" spans="1:11" ht="15.75" x14ac:dyDescent="0.25">
      <c r="A171" s="25"/>
      <c r="B171" s="30" t="s">
        <v>77</v>
      </c>
      <c r="C171" s="42">
        <v>17586</v>
      </c>
      <c r="D171" s="42">
        <v>22999</v>
      </c>
      <c r="E171" s="42">
        <v>33466</v>
      </c>
      <c r="F171" s="42"/>
      <c r="G171" s="42"/>
      <c r="H171" s="25"/>
      <c r="I171" s="25">
        <v>24683.666666666668</v>
      </c>
      <c r="J171" s="25">
        <v>0.24683666666666668</v>
      </c>
      <c r="K171" s="25"/>
    </row>
    <row r="172" spans="1:11" ht="15.75" x14ac:dyDescent="0.25">
      <c r="A172" s="25"/>
      <c r="B172" s="30" t="s">
        <v>78</v>
      </c>
      <c r="C172" s="42">
        <v>7281</v>
      </c>
      <c r="D172" s="42">
        <v>11173</v>
      </c>
      <c r="E172" s="42">
        <v>2662</v>
      </c>
      <c r="F172" s="42"/>
      <c r="G172" s="42"/>
      <c r="H172" s="25"/>
      <c r="I172" s="25">
        <v>7038.666666666667</v>
      </c>
      <c r="J172" s="25">
        <v>7.0386666666666667E-2</v>
      </c>
      <c r="K172" s="25"/>
    </row>
    <row r="173" spans="1:11" x14ac:dyDescent="0.2">
      <c r="A173" s="25"/>
      <c r="B173" s="31"/>
      <c r="C173" s="42"/>
      <c r="D173" s="42"/>
      <c r="E173" s="42"/>
      <c r="F173" s="42"/>
      <c r="G173" s="42"/>
      <c r="H173" s="25"/>
      <c r="I173" s="25"/>
      <c r="J173" s="25"/>
      <c r="K173" s="25"/>
    </row>
    <row r="174" spans="1:11" x14ac:dyDescent="0.2">
      <c r="A174" s="25"/>
      <c r="B174" s="31"/>
      <c r="C174" s="42"/>
      <c r="D174" s="42"/>
      <c r="E174" s="42"/>
      <c r="F174" s="42"/>
      <c r="G174" s="42"/>
      <c r="H174" s="25"/>
      <c r="I174" s="25"/>
      <c r="J174" s="25"/>
      <c r="K174" s="25"/>
    </row>
    <row r="175" spans="1:11" ht="15.75" x14ac:dyDescent="0.25">
      <c r="A175" s="26" t="s">
        <v>79</v>
      </c>
      <c r="B175" s="30" t="s">
        <v>74</v>
      </c>
      <c r="C175" s="42">
        <v>3490</v>
      </c>
      <c r="D175" s="42">
        <v>4590</v>
      </c>
      <c r="E175" s="42">
        <v>2139</v>
      </c>
      <c r="F175" s="42">
        <v>4260</v>
      </c>
      <c r="G175" s="42"/>
      <c r="H175" s="25"/>
      <c r="I175" s="25">
        <v>3619.75</v>
      </c>
      <c r="J175" s="25">
        <v>3.6197500000000001E-2</v>
      </c>
      <c r="K175" s="25"/>
    </row>
    <row r="176" spans="1:11" ht="15.75" x14ac:dyDescent="0.25">
      <c r="A176" s="25"/>
      <c r="B176" s="30" t="s">
        <v>75</v>
      </c>
      <c r="C176" s="42">
        <v>43021</v>
      </c>
      <c r="D176" s="42">
        <v>80847</v>
      </c>
      <c r="E176" s="42">
        <v>100276</v>
      </c>
      <c r="F176" s="42">
        <v>158505</v>
      </c>
      <c r="G176" s="42">
        <v>88598</v>
      </c>
      <c r="H176" s="25"/>
      <c r="I176" s="25">
        <v>94249.4</v>
      </c>
      <c r="J176" s="25">
        <v>0.94249399999999994</v>
      </c>
      <c r="K176" s="25"/>
    </row>
    <row r="177" spans="1:11" ht="15.75" x14ac:dyDescent="0.25">
      <c r="A177" s="25"/>
      <c r="B177" s="30" t="s">
        <v>76</v>
      </c>
      <c r="C177" s="42">
        <v>267892</v>
      </c>
      <c r="D177" s="42">
        <v>135279</v>
      </c>
      <c r="E177" s="42">
        <v>146583</v>
      </c>
      <c r="F177" s="42">
        <v>161816</v>
      </c>
      <c r="G177" s="42">
        <v>436525</v>
      </c>
      <c r="H177" s="25"/>
      <c r="I177" s="25">
        <v>229619</v>
      </c>
      <c r="J177" s="25">
        <v>2.2961900000000002</v>
      </c>
      <c r="K177" s="25"/>
    </row>
    <row r="178" spans="1:11" ht="15.75" x14ac:dyDescent="0.25">
      <c r="A178" s="25"/>
      <c r="B178" s="30" t="s">
        <v>77</v>
      </c>
      <c r="C178" s="42">
        <v>345097</v>
      </c>
      <c r="D178" s="42">
        <v>618534</v>
      </c>
      <c r="E178" s="42">
        <v>463909</v>
      </c>
      <c r="F178" s="42"/>
      <c r="G178" s="42"/>
      <c r="H178" s="25"/>
      <c r="I178" s="25">
        <v>475846.66666666669</v>
      </c>
      <c r="J178" s="25">
        <v>4.7584666666666671</v>
      </c>
      <c r="K178" s="25"/>
    </row>
    <row r="179" spans="1:11" ht="15.75" x14ac:dyDescent="0.25">
      <c r="A179" s="25"/>
      <c r="B179" s="30" t="s">
        <v>78</v>
      </c>
      <c r="C179" s="42">
        <v>11188</v>
      </c>
      <c r="D179" s="42">
        <v>11443</v>
      </c>
      <c r="E179" s="42">
        <v>10458</v>
      </c>
      <c r="F179" s="42"/>
      <c r="G179" s="42"/>
      <c r="H179" s="25"/>
      <c r="I179" s="25">
        <v>11029.666666666666</v>
      </c>
      <c r="J179" s="25">
        <v>0.11029666666666665</v>
      </c>
      <c r="K179" s="25"/>
    </row>
    <row r="180" spans="1:11" x14ac:dyDescent="0.2">
      <c r="A180" s="25"/>
      <c r="B180" s="25"/>
      <c r="C180" s="42"/>
      <c r="D180" s="42"/>
      <c r="E180" s="42"/>
      <c r="F180" s="42"/>
      <c r="G180" s="42"/>
      <c r="H180" s="25"/>
      <c r="I180" s="25"/>
      <c r="J180" s="25"/>
      <c r="K180" s="25"/>
    </row>
    <row r="181" spans="1:11" ht="15.75" x14ac:dyDescent="0.25">
      <c r="A181" s="26" t="s">
        <v>80</v>
      </c>
      <c r="B181" s="30" t="s">
        <v>74</v>
      </c>
      <c r="C181" s="14">
        <v>24677</v>
      </c>
      <c r="D181" s="14">
        <v>26309</v>
      </c>
      <c r="E181" s="14">
        <v>44504</v>
      </c>
      <c r="F181" s="14">
        <v>29649</v>
      </c>
      <c r="G181" s="42"/>
      <c r="H181" s="25"/>
      <c r="I181" s="25">
        <v>31284.75</v>
      </c>
      <c r="J181" s="25">
        <v>0.31547750000000002</v>
      </c>
      <c r="K181" s="25"/>
    </row>
    <row r="182" spans="1:11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 ht="15.75" x14ac:dyDescent="0.25">
      <c r="A183" s="30" t="s">
        <v>81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 ht="34.5" customHeight="1" x14ac:dyDescent="0.25">
      <c r="A184" s="25"/>
      <c r="B184" s="32" t="s">
        <v>85</v>
      </c>
      <c r="C184" s="32" t="s">
        <v>82</v>
      </c>
      <c r="D184" s="32" t="s">
        <v>86</v>
      </c>
      <c r="E184" s="32" t="s">
        <v>83</v>
      </c>
      <c r="F184" s="32" t="s">
        <v>84</v>
      </c>
      <c r="G184" s="32" t="s">
        <v>87</v>
      </c>
      <c r="H184" s="30"/>
      <c r="I184" s="25"/>
      <c r="J184" s="25"/>
      <c r="K184" s="25"/>
    </row>
    <row r="185" spans="1:11" ht="15.75" x14ac:dyDescent="0.25">
      <c r="A185" s="26" t="s">
        <v>40</v>
      </c>
      <c r="B185" s="25">
        <v>0</v>
      </c>
      <c r="C185" s="25">
        <v>14.07822</v>
      </c>
      <c r="D185" s="25">
        <v>4925.7420000000002</v>
      </c>
      <c r="E185" s="25">
        <v>8048.18</v>
      </c>
      <c r="F185" s="25">
        <v>8481.3160000000007</v>
      </c>
      <c r="G185" s="25">
        <v>12735.95</v>
      </c>
      <c r="H185" s="25"/>
      <c r="I185" s="25"/>
      <c r="J185" s="25"/>
      <c r="K185" s="25"/>
    </row>
    <row r="186" spans="1:11" ht="15.75" x14ac:dyDescent="0.25">
      <c r="A186" s="26" t="s">
        <v>29</v>
      </c>
      <c r="B186" s="25">
        <v>0</v>
      </c>
      <c r="C186" s="25">
        <v>47.826050000000002</v>
      </c>
      <c r="D186" s="25">
        <v>4033.835</v>
      </c>
      <c r="E186" s="25">
        <v>3178.087</v>
      </c>
      <c r="F186" s="25">
        <v>12085.1</v>
      </c>
      <c r="G186" s="25">
        <v>10879.82</v>
      </c>
      <c r="H186" s="25"/>
      <c r="I186" s="25"/>
      <c r="J186" s="25"/>
      <c r="K186" s="25"/>
    </row>
    <row r="187" spans="1:11" x14ac:dyDescent="0.2">
      <c r="A187" s="25"/>
      <c r="B187" s="25">
        <v>0</v>
      </c>
      <c r="C187" s="25">
        <v>98.447789999999998</v>
      </c>
      <c r="D187" s="25">
        <v>5323.4840000000004</v>
      </c>
      <c r="E187" s="25">
        <v>9168.3259999999991</v>
      </c>
      <c r="F187" s="25">
        <v>11241.41</v>
      </c>
      <c r="G187" s="25">
        <v>13748.39</v>
      </c>
      <c r="H187" s="25"/>
      <c r="I187" s="25"/>
      <c r="J187" s="25"/>
      <c r="K187" s="25"/>
    </row>
    <row r="188" spans="1:11" x14ac:dyDescent="0.2">
      <c r="A188" s="25"/>
      <c r="B188" s="25">
        <v>0</v>
      </c>
      <c r="C188" s="25"/>
      <c r="D188" s="25">
        <v>8047.4160000000002</v>
      </c>
      <c r="E188" s="25">
        <v>7263.9840000000004</v>
      </c>
      <c r="F188" s="25"/>
      <c r="G188" s="25">
        <v>8879.0589999999993</v>
      </c>
      <c r="H188" s="25"/>
      <c r="I188" s="25"/>
      <c r="J188" s="25"/>
      <c r="K188" s="25"/>
    </row>
    <row r="189" spans="1:11" x14ac:dyDescent="0.2">
      <c r="A189" s="25"/>
      <c r="B189" s="25"/>
      <c r="C189" s="25"/>
      <c r="D189" s="25">
        <v>4817.2669999999998</v>
      </c>
      <c r="E189" s="25">
        <v>7806.36</v>
      </c>
      <c r="F189" s="25"/>
      <c r="G189" s="25"/>
      <c r="H189" s="25"/>
      <c r="I189" s="25"/>
      <c r="J189" s="25"/>
      <c r="K189" s="25"/>
    </row>
    <row r="190" spans="1:11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 ht="15.75" x14ac:dyDescent="0.25">
      <c r="A191" s="26" t="s">
        <v>63</v>
      </c>
      <c r="B191" s="26">
        <v>0</v>
      </c>
      <c r="C191" s="26">
        <v>53.450686666666662</v>
      </c>
      <c r="D191" s="26">
        <v>5429.5488000000005</v>
      </c>
      <c r="E191" s="26">
        <v>7092.9874</v>
      </c>
      <c r="F191" s="26">
        <v>10602.608666666667</v>
      </c>
      <c r="G191" s="26">
        <v>11560.804750000001</v>
      </c>
      <c r="H191" s="25"/>
      <c r="I191" s="25"/>
      <c r="J191" s="25"/>
      <c r="K191" s="25"/>
    </row>
    <row r="192" spans="1:11" ht="15.75" x14ac:dyDescent="0.25">
      <c r="A192" s="26" t="s">
        <v>88</v>
      </c>
      <c r="B192" s="25"/>
      <c r="C192" s="25">
        <f>C191/1000</f>
        <v>5.3450686666666664E-2</v>
      </c>
      <c r="D192" s="25">
        <f>D191/1000</f>
        <v>5.4295488000000001</v>
      </c>
      <c r="E192" s="25">
        <f>E191/1000</f>
        <v>7.0929874000000002</v>
      </c>
      <c r="F192" s="25">
        <f>F191/1000</f>
        <v>10.602608666666667</v>
      </c>
      <c r="G192" s="25">
        <f>G191/1000</f>
        <v>11.560804750000001</v>
      </c>
      <c r="H192" s="25"/>
      <c r="I192" s="25"/>
      <c r="J192" s="25"/>
      <c r="K192" s="25"/>
    </row>
    <row r="193" spans="1:11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</row>
  </sheetData>
  <mergeCells count="1">
    <mergeCell ref="A1:D1"/>
  </mergeCell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89828-F046-473F-8CE0-A23E48342173}">
  <dimension ref="A2:AU66"/>
  <sheetViews>
    <sheetView topLeftCell="A45" workbookViewId="0">
      <selection activeCell="A66" sqref="A66"/>
    </sheetView>
  </sheetViews>
  <sheetFormatPr defaultRowHeight="15" x14ac:dyDescent="0.2"/>
  <cols>
    <col min="1" max="1" width="21.140625" style="8" customWidth="1"/>
    <col min="2" max="3" width="11.42578125" style="8" bestFit="1" customWidth="1"/>
    <col min="4" max="6" width="12.7109375" style="8" bestFit="1" customWidth="1"/>
    <col min="7" max="7" width="9.140625" style="8"/>
    <col min="8" max="17" width="9.42578125" style="8" bestFit="1" customWidth="1"/>
    <col min="18" max="18" width="9.140625" style="8"/>
    <col min="19" max="27" width="9.42578125" style="8" bestFit="1" customWidth="1"/>
    <col min="28" max="28" width="9.140625" style="8"/>
    <col min="29" max="37" width="9.42578125" style="8" bestFit="1" customWidth="1"/>
    <col min="38" max="38" width="9.140625" style="8"/>
    <col min="39" max="41" width="9.42578125" style="8" bestFit="1" customWidth="1"/>
    <col min="42" max="44" width="9.5703125" style="8" bestFit="1" customWidth="1"/>
    <col min="45" max="45" width="9.42578125" style="8" bestFit="1" customWidth="1"/>
    <col min="46" max="46" width="9.5703125" style="8" bestFit="1" customWidth="1"/>
    <col min="47" max="47" width="9.42578125" style="8" bestFit="1" customWidth="1"/>
    <col min="48" max="16384" width="9.140625" style="8"/>
  </cols>
  <sheetData>
    <row r="2" spans="1:47" ht="15.75" x14ac:dyDescent="0.25">
      <c r="A2" s="43" t="s">
        <v>148</v>
      </c>
      <c r="B2" s="43"/>
      <c r="C2" s="10"/>
    </row>
    <row r="3" spans="1:47" ht="15.75" x14ac:dyDescent="0.25">
      <c r="A3" s="43" t="s">
        <v>131</v>
      </c>
      <c r="B3" s="43"/>
      <c r="C3" s="10"/>
    </row>
    <row r="4" spans="1:47" x14ac:dyDescent="0.2">
      <c r="H4" s="8" t="s">
        <v>132</v>
      </c>
      <c r="S4" s="8" t="s">
        <v>133</v>
      </c>
      <c r="AC4" s="8" t="s">
        <v>134</v>
      </c>
      <c r="AM4" s="8" t="s">
        <v>135</v>
      </c>
    </row>
    <row r="5" spans="1:47" ht="15.75" x14ac:dyDescent="0.25">
      <c r="A5" s="23"/>
      <c r="B5" s="23" t="s">
        <v>136</v>
      </c>
      <c r="C5" s="33" t="s">
        <v>108</v>
      </c>
      <c r="D5" s="33" t="s">
        <v>109</v>
      </c>
      <c r="E5" s="33" t="s">
        <v>110</v>
      </c>
      <c r="F5" s="33" t="s">
        <v>111</v>
      </c>
      <c r="H5" s="23" t="s">
        <v>137</v>
      </c>
      <c r="I5" s="23" t="s">
        <v>138</v>
      </c>
      <c r="J5" s="23" t="s">
        <v>121</v>
      </c>
      <c r="K5" s="23" t="s">
        <v>139</v>
      </c>
      <c r="L5" s="23" t="s">
        <v>140</v>
      </c>
      <c r="M5" s="23" t="s">
        <v>141</v>
      </c>
      <c r="N5" s="23" t="s">
        <v>142</v>
      </c>
      <c r="O5" s="23" t="s">
        <v>143</v>
      </c>
      <c r="P5" s="23" t="s">
        <v>144</v>
      </c>
      <c r="Q5" s="23" t="s">
        <v>145</v>
      </c>
      <c r="S5" s="23" t="s">
        <v>137</v>
      </c>
      <c r="T5" s="23" t="s">
        <v>138</v>
      </c>
      <c r="U5" s="23" t="s">
        <v>121</v>
      </c>
      <c r="V5" s="23" t="s">
        <v>139</v>
      </c>
      <c r="W5" s="23" t="s">
        <v>140</v>
      </c>
      <c r="X5" s="23" t="s">
        <v>141</v>
      </c>
      <c r="Y5" s="23" t="s">
        <v>142</v>
      </c>
      <c r="Z5" s="23" t="s">
        <v>143</v>
      </c>
      <c r="AA5" s="23" t="s">
        <v>144</v>
      </c>
      <c r="AC5" s="23" t="s">
        <v>137</v>
      </c>
      <c r="AD5" s="23" t="s">
        <v>138</v>
      </c>
      <c r="AE5" s="23" t="s">
        <v>121</v>
      </c>
      <c r="AF5" s="23" t="s">
        <v>139</v>
      </c>
      <c r="AG5" s="23" t="s">
        <v>140</v>
      </c>
      <c r="AH5" s="23" t="s">
        <v>141</v>
      </c>
      <c r="AI5" s="23" t="s">
        <v>142</v>
      </c>
      <c r="AJ5" s="23" t="s">
        <v>143</v>
      </c>
      <c r="AK5" s="23" t="s">
        <v>144</v>
      </c>
      <c r="AM5" s="23" t="s">
        <v>137</v>
      </c>
      <c r="AN5" s="23" t="s">
        <v>138</v>
      </c>
      <c r="AO5" s="23" t="s">
        <v>121</v>
      </c>
      <c r="AP5" s="23" t="s">
        <v>139</v>
      </c>
      <c r="AQ5" s="23" t="s">
        <v>140</v>
      </c>
      <c r="AR5" s="23" t="s">
        <v>141</v>
      </c>
      <c r="AS5" s="23" t="s">
        <v>142</v>
      </c>
      <c r="AT5" s="23" t="s">
        <v>143</v>
      </c>
      <c r="AU5" s="23" t="s">
        <v>144</v>
      </c>
    </row>
    <row r="6" spans="1:47" x14ac:dyDescent="0.2">
      <c r="A6" s="34"/>
      <c r="B6" s="18">
        <v>13</v>
      </c>
      <c r="C6" s="18">
        <v>13</v>
      </c>
      <c r="D6" s="18">
        <v>4920.7299999999996</v>
      </c>
      <c r="E6" s="18" t="s">
        <v>118</v>
      </c>
      <c r="F6" s="18" t="s">
        <v>98</v>
      </c>
      <c r="G6" s="18"/>
      <c r="H6" s="35">
        <v>22.610294342041016</v>
      </c>
      <c r="I6" s="35">
        <v>30.2032165527343</v>
      </c>
      <c r="J6" s="35">
        <v>28.830451965332031</v>
      </c>
      <c r="K6" s="35">
        <v>29.866735458374023</v>
      </c>
      <c r="L6" s="35">
        <v>29.971101760864258</v>
      </c>
      <c r="M6" s="35">
        <v>27.164840698242188</v>
      </c>
      <c r="N6" s="35">
        <v>31.323917388916016</v>
      </c>
      <c r="O6" s="35">
        <v>32.297882080078125</v>
      </c>
      <c r="P6" s="35">
        <v>32.690292358398438</v>
      </c>
      <c r="Q6" s="35">
        <v>18.182525634765625</v>
      </c>
      <c r="R6" s="18"/>
      <c r="S6" s="35">
        <f>H6-$Q6</f>
        <v>4.4277687072753906</v>
      </c>
      <c r="T6" s="35">
        <f t="shared" ref="T6:AA23" si="0">I6-$Q6</f>
        <v>12.020690917968675</v>
      </c>
      <c r="U6" s="35">
        <f t="shared" si="0"/>
        <v>10.647926330566406</v>
      </c>
      <c r="V6" s="35">
        <f t="shared" si="0"/>
        <v>11.684209823608398</v>
      </c>
      <c r="W6" s="35">
        <f t="shared" si="0"/>
        <v>11.788576126098633</v>
      </c>
      <c r="X6" s="35">
        <f t="shared" si="0"/>
        <v>8.9823150634765625</v>
      </c>
      <c r="Y6" s="35">
        <f t="shared" si="0"/>
        <v>13.141391754150391</v>
      </c>
      <c r="Z6" s="35">
        <f t="shared" si="0"/>
        <v>14.1153564453125</v>
      </c>
      <c r="AA6" s="35">
        <f t="shared" si="0"/>
        <v>14.507766723632813</v>
      </c>
      <c r="AB6" s="18"/>
      <c r="AC6" s="35">
        <f>S6-4.984</f>
        <v>-0.55623129272460936</v>
      </c>
      <c r="AD6" s="35">
        <f>T6-16.34</f>
        <v>-4.3193090820313245</v>
      </c>
      <c r="AE6" s="35">
        <f>U6-11.462</f>
        <v>-0.81407366943359349</v>
      </c>
      <c r="AF6" s="35">
        <f>V6-15.832</f>
        <v>-4.1477901763916023</v>
      </c>
      <c r="AG6" s="35">
        <f>W6-16.572</f>
        <v>-4.7834238739013664</v>
      </c>
      <c r="AH6" s="35">
        <f>X6-14.919</f>
        <v>-5.936684936523438</v>
      </c>
      <c r="AI6" s="35">
        <f>Y6-13.741</f>
        <v>-0.59960824584960903</v>
      </c>
      <c r="AJ6" s="35">
        <f>Z6-17.416</f>
        <v>-3.3006435546875004</v>
      </c>
      <c r="AK6" s="35">
        <f>AA6-15.805</f>
        <v>-1.2972332763671872</v>
      </c>
      <c r="AL6" s="18"/>
      <c r="AM6" s="35">
        <f>(2^(-AC6))</f>
        <v>1.4704230555704469</v>
      </c>
      <c r="AN6" s="35">
        <f t="shared" ref="AN6:AU21" si="1">(2^(-AD6))</f>
        <v>19.96372570789611</v>
      </c>
      <c r="AO6" s="35">
        <f t="shared" si="1"/>
        <v>1.758168898246385</v>
      </c>
      <c r="AP6" s="35">
        <f t="shared" si="1"/>
        <v>17.725939341800409</v>
      </c>
      <c r="AQ6" s="35">
        <f t="shared" si="1"/>
        <v>27.539374251968994</v>
      </c>
      <c r="AR6" s="35">
        <f t="shared" si="1"/>
        <v>61.251995324693674</v>
      </c>
      <c r="AS6" s="35">
        <f t="shared" si="1"/>
        <v>1.5153050397312731</v>
      </c>
      <c r="AT6" s="35">
        <f t="shared" si="1"/>
        <v>9.8535497794805398</v>
      </c>
      <c r="AU6" s="35">
        <f t="shared" si="1"/>
        <v>2.4575713054049984</v>
      </c>
    </row>
    <row r="7" spans="1:47" x14ac:dyDescent="0.2">
      <c r="A7" s="34"/>
      <c r="B7" s="18">
        <v>14</v>
      </c>
      <c r="C7" s="18">
        <v>14</v>
      </c>
      <c r="D7" s="18">
        <v>4900.91</v>
      </c>
      <c r="E7" s="18" t="s">
        <v>118</v>
      </c>
      <c r="F7" s="18" t="s">
        <v>98</v>
      </c>
      <c r="G7" s="18"/>
      <c r="H7" s="35">
        <v>22.226835250854492</v>
      </c>
      <c r="I7" s="35">
        <v>31.79979133605957</v>
      </c>
      <c r="J7" s="35">
        <v>28.959712982177734</v>
      </c>
      <c r="K7" s="35">
        <v>28.297761917114258</v>
      </c>
      <c r="L7" s="35">
        <v>30.186948776245117</v>
      </c>
      <c r="M7" s="35">
        <v>30.106603622436523</v>
      </c>
      <c r="N7" s="35">
        <v>32.337818145751953</v>
      </c>
      <c r="O7" s="35">
        <v>33.16485595703125</v>
      </c>
      <c r="P7" s="35">
        <v>32.470321655273438</v>
      </c>
      <c r="Q7" s="35">
        <v>18.051862716674805</v>
      </c>
      <c r="R7" s="18"/>
      <c r="S7" s="35">
        <f t="shared" ref="S7:AA24" si="2">H7-$Q7</f>
        <v>4.1749725341796875</v>
      </c>
      <c r="T7" s="35">
        <f t="shared" si="0"/>
        <v>13.747928619384766</v>
      </c>
      <c r="U7" s="35">
        <f t="shared" si="0"/>
        <v>10.90785026550293</v>
      </c>
      <c r="V7" s="35">
        <f t="shared" si="0"/>
        <v>10.245899200439453</v>
      </c>
      <c r="W7" s="35">
        <f t="shared" si="0"/>
        <v>12.135086059570313</v>
      </c>
      <c r="X7" s="35">
        <f t="shared" si="0"/>
        <v>12.054740905761719</v>
      </c>
      <c r="Y7" s="35">
        <f t="shared" si="0"/>
        <v>14.285955429077148</v>
      </c>
      <c r="Z7" s="35">
        <f t="shared" si="0"/>
        <v>15.112993240356445</v>
      </c>
      <c r="AA7" s="35">
        <f t="shared" si="0"/>
        <v>14.418458938598633</v>
      </c>
      <c r="AB7" s="18"/>
      <c r="AC7" s="35">
        <f t="shared" ref="AC7:AC25" si="3">S7-4.984</f>
        <v>-0.80902746582031249</v>
      </c>
      <c r="AD7" s="35">
        <f t="shared" ref="AD7:AD25" si="4">T7-16.34</f>
        <v>-2.5920713806152342</v>
      </c>
      <c r="AE7" s="35">
        <f t="shared" ref="AE7:AE25" si="5">U7-11.462</f>
        <v>-0.55414973449707006</v>
      </c>
      <c r="AF7" s="35">
        <f t="shared" ref="AF7:AF25" si="6">V7-15.832</f>
        <v>-5.5861007995605476</v>
      </c>
      <c r="AG7" s="35">
        <f t="shared" ref="AG7:AG25" si="7">W7-16.572</f>
        <v>-4.4369139404296867</v>
      </c>
      <c r="AH7" s="35">
        <f t="shared" ref="AH7:AH25" si="8">X7-14.919</f>
        <v>-2.8642590942382817</v>
      </c>
      <c r="AI7" s="35">
        <f t="shared" ref="AI7:AI25" si="9">Y7-13.741</f>
        <v>0.54495542907714878</v>
      </c>
      <c r="AJ7" s="35">
        <f t="shared" ref="AJ7:AJ25" si="10">Z7-17.416</f>
        <v>-2.3030067596435551</v>
      </c>
      <c r="AK7" s="35">
        <f t="shared" ref="AK7:AK25" si="11">AA7-15.805</f>
        <v>-1.3865410614013669</v>
      </c>
      <c r="AL7" s="18"/>
      <c r="AM7" s="35">
        <f t="shared" ref="AM7:AU25" si="12">(2^(-AC7))</f>
        <v>1.752029984711152</v>
      </c>
      <c r="AN7" s="35">
        <f t="shared" si="1"/>
        <v>6.0296379608920034</v>
      </c>
      <c r="AO7" s="35">
        <f t="shared" si="1"/>
        <v>1.4683030204253165</v>
      </c>
      <c r="AP7" s="35">
        <f t="shared" si="1"/>
        <v>48.037887359056761</v>
      </c>
      <c r="AQ7" s="35">
        <f t="shared" si="1"/>
        <v>21.659288407545734</v>
      </c>
      <c r="AR7" s="35">
        <f t="shared" si="1"/>
        <v>7.2816181842473897</v>
      </c>
      <c r="AS7" s="35">
        <f t="shared" si="1"/>
        <v>0.68541257744252615</v>
      </c>
      <c r="AT7" s="35">
        <f t="shared" si="1"/>
        <v>4.9348518010759896</v>
      </c>
      <c r="AU7" s="35">
        <f t="shared" si="1"/>
        <v>2.6145108575048188</v>
      </c>
    </row>
    <row r="8" spans="1:47" x14ac:dyDescent="0.2">
      <c r="A8" s="34"/>
      <c r="B8" s="18">
        <v>15</v>
      </c>
      <c r="C8" s="18">
        <v>15</v>
      </c>
      <c r="D8" s="18">
        <v>4900.8</v>
      </c>
      <c r="E8" s="18" t="s">
        <v>118</v>
      </c>
      <c r="F8" s="18" t="s">
        <v>98</v>
      </c>
      <c r="G8" s="18"/>
      <c r="H8" s="35">
        <v>22.321676254272461</v>
      </c>
      <c r="I8" s="35">
        <v>31.393112182617188</v>
      </c>
      <c r="J8" s="35">
        <v>28.871185302734375</v>
      </c>
      <c r="K8" s="35">
        <v>30.509416580200195</v>
      </c>
      <c r="L8" s="35">
        <v>30.256109237670898</v>
      </c>
      <c r="M8" s="35">
        <v>29.385787963867188</v>
      </c>
      <c r="N8" s="35">
        <v>32.523948669433594</v>
      </c>
      <c r="O8" s="35">
        <v>31.650163650512695</v>
      </c>
      <c r="P8" s="35">
        <v>32.591007232666016</v>
      </c>
      <c r="Q8" s="35">
        <v>17.604238510131836</v>
      </c>
      <c r="R8" s="18"/>
      <c r="S8" s="35">
        <f t="shared" si="2"/>
        <v>4.717437744140625</v>
      </c>
      <c r="T8" s="35">
        <f t="shared" si="0"/>
        <v>13.788873672485352</v>
      </c>
      <c r="U8" s="35">
        <f t="shared" si="0"/>
        <v>11.266946792602539</v>
      </c>
      <c r="V8" s="35">
        <f t="shared" si="0"/>
        <v>12.905178070068359</v>
      </c>
      <c r="W8" s="35">
        <f t="shared" si="0"/>
        <v>12.651870727539063</v>
      </c>
      <c r="X8" s="35">
        <f t="shared" si="0"/>
        <v>11.781549453735352</v>
      </c>
      <c r="Y8" s="35">
        <f t="shared" si="0"/>
        <v>14.919710159301758</v>
      </c>
      <c r="Z8" s="35">
        <f t="shared" si="0"/>
        <v>14.045925140380859</v>
      </c>
      <c r="AA8" s="35">
        <f t="shared" si="0"/>
        <v>14.98676872253418</v>
      </c>
      <c r="AB8" s="18"/>
      <c r="AC8" s="35">
        <f t="shared" si="3"/>
        <v>-0.26656225585937499</v>
      </c>
      <c r="AD8" s="35">
        <f t="shared" si="4"/>
        <v>-2.5511263275146483</v>
      </c>
      <c r="AE8" s="35">
        <f t="shared" si="5"/>
        <v>-0.19505320739746068</v>
      </c>
      <c r="AF8" s="35">
        <f t="shared" si="6"/>
        <v>-2.9268219299316414</v>
      </c>
      <c r="AG8" s="35">
        <f t="shared" si="7"/>
        <v>-3.9201292724609367</v>
      </c>
      <c r="AH8" s="35">
        <f t="shared" si="8"/>
        <v>-3.1374505462646489</v>
      </c>
      <c r="AI8" s="35">
        <f t="shared" si="9"/>
        <v>1.1787101593017582</v>
      </c>
      <c r="AJ8" s="35">
        <f t="shared" si="10"/>
        <v>-3.370074859619141</v>
      </c>
      <c r="AK8" s="35">
        <f t="shared" si="11"/>
        <v>-0.81823127746582003</v>
      </c>
      <c r="AL8" s="18"/>
      <c r="AM8" s="35">
        <f t="shared" si="12"/>
        <v>1.2029379738364756</v>
      </c>
      <c r="AN8" s="35">
        <f t="shared" si="1"/>
        <v>5.8609166787098781</v>
      </c>
      <c r="AO8" s="35">
        <f t="shared" si="1"/>
        <v>1.1447663794424736</v>
      </c>
      <c r="AP8" s="35">
        <f t="shared" si="1"/>
        <v>7.6043341583313575</v>
      </c>
      <c r="AQ8" s="35">
        <f t="shared" si="1"/>
        <v>15.13827874991137</v>
      </c>
      <c r="AR8" s="35">
        <f t="shared" si="1"/>
        <v>8.7996768594209698</v>
      </c>
      <c r="AS8" s="35">
        <f t="shared" si="1"/>
        <v>0.44174626465066102</v>
      </c>
      <c r="AT8" s="35">
        <f t="shared" si="1"/>
        <v>10.339359127436053</v>
      </c>
      <c r="AU8" s="35">
        <f t="shared" si="1"/>
        <v>1.7632429574441182</v>
      </c>
    </row>
    <row r="9" spans="1:47" x14ac:dyDescent="0.2">
      <c r="A9" s="34"/>
      <c r="B9" s="18">
        <v>2</v>
      </c>
      <c r="C9" s="18">
        <v>2</v>
      </c>
      <c r="D9" s="18">
        <v>3241.82</v>
      </c>
      <c r="E9" s="18" t="s">
        <v>118</v>
      </c>
      <c r="F9" s="18" t="s">
        <v>98</v>
      </c>
      <c r="G9" s="18"/>
      <c r="H9" s="35">
        <v>21.363317489624023</v>
      </c>
      <c r="I9" s="35">
        <v>29.900707244873047</v>
      </c>
      <c r="J9" s="35">
        <v>27.61517333984375</v>
      </c>
      <c r="K9" s="35">
        <v>27.110466003417969</v>
      </c>
      <c r="L9" s="35">
        <v>29.210334777832031</v>
      </c>
      <c r="M9" s="35">
        <v>27.607027053833008</v>
      </c>
      <c r="N9" s="35">
        <v>31.58990478515625</v>
      </c>
      <c r="O9" s="35">
        <v>30.898624420166016</v>
      </c>
      <c r="P9" s="35">
        <v>32.064720153808594</v>
      </c>
      <c r="Q9" s="35">
        <v>17.18535041809082</v>
      </c>
      <c r="R9" s="18"/>
      <c r="S9" s="35">
        <f t="shared" si="2"/>
        <v>4.1779670715332031</v>
      </c>
      <c r="T9" s="35">
        <f t="shared" si="0"/>
        <v>12.715356826782227</v>
      </c>
      <c r="U9" s="35">
        <f t="shared" si="0"/>
        <v>10.42982292175293</v>
      </c>
      <c r="V9" s="35">
        <f t="shared" si="0"/>
        <v>9.9251155853271484</v>
      </c>
      <c r="W9" s="35">
        <f t="shared" si="0"/>
        <v>12.024984359741211</v>
      </c>
      <c r="X9" s="35">
        <f t="shared" si="0"/>
        <v>10.421676635742188</v>
      </c>
      <c r="Y9" s="35">
        <f t="shared" si="0"/>
        <v>14.40455436706543</v>
      </c>
      <c r="Z9" s="35">
        <f t="shared" si="0"/>
        <v>13.713274002075195</v>
      </c>
      <c r="AA9" s="35">
        <f t="shared" si="0"/>
        <v>14.879369735717773</v>
      </c>
      <c r="AB9" s="18"/>
      <c r="AC9" s="35">
        <f t="shared" si="3"/>
        <v>-0.80603292846679686</v>
      </c>
      <c r="AD9" s="35">
        <f t="shared" si="4"/>
        <v>-3.6246431732177733</v>
      </c>
      <c r="AE9" s="35">
        <f t="shared" si="5"/>
        <v>-1.0321770782470701</v>
      </c>
      <c r="AF9" s="35">
        <f t="shared" si="6"/>
        <v>-5.9068844146728523</v>
      </c>
      <c r="AG9" s="35">
        <f t="shared" si="7"/>
        <v>-4.5470156402587882</v>
      </c>
      <c r="AH9" s="35">
        <f t="shared" si="8"/>
        <v>-4.497323364257813</v>
      </c>
      <c r="AI9" s="35">
        <f t="shared" si="9"/>
        <v>0.66355436706543003</v>
      </c>
      <c r="AJ9" s="35">
        <f t="shared" si="10"/>
        <v>-3.7027259979248051</v>
      </c>
      <c r="AK9" s="35">
        <f t="shared" si="11"/>
        <v>-0.92563026428222628</v>
      </c>
      <c r="AL9" s="18"/>
      <c r="AM9" s="35">
        <f t="shared" si="12"/>
        <v>1.7483971462607262</v>
      </c>
      <c r="AN9" s="35">
        <f t="shared" si="1"/>
        <v>12.334635457665645</v>
      </c>
      <c r="AO9" s="35">
        <f t="shared" si="1"/>
        <v>2.0451080650126405</v>
      </c>
      <c r="AP9" s="35">
        <f t="shared" si="1"/>
        <v>59.999742942662813</v>
      </c>
      <c r="AQ9" s="35">
        <f t="shared" si="1"/>
        <v>23.376963485048211</v>
      </c>
      <c r="AR9" s="35">
        <f t="shared" si="1"/>
        <v>22.585475213615354</v>
      </c>
      <c r="AS9" s="35">
        <f t="shared" si="1"/>
        <v>0.63132099418570242</v>
      </c>
      <c r="AT9" s="35">
        <f t="shared" si="1"/>
        <v>13.020617801511429</v>
      </c>
      <c r="AU9" s="35">
        <f t="shared" si="1"/>
        <v>1.8995138935306835</v>
      </c>
    </row>
    <row r="10" spans="1:47" x14ac:dyDescent="0.2">
      <c r="A10" s="34"/>
      <c r="B10" s="18">
        <v>3</v>
      </c>
      <c r="C10" s="18">
        <v>3</v>
      </c>
      <c r="D10" s="18">
        <v>3241.87</v>
      </c>
      <c r="E10" s="18" t="s">
        <v>118</v>
      </c>
      <c r="F10" s="18" t="s">
        <v>98</v>
      </c>
      <c r="G10" s="18"/>
      <c r="H10" s="35">
        <v>22.863201141357401</v>
      </c>
      <c r="I10" s="35">
        <v>29.538627624511719</v>
      </c>
      <c r="J10" s="35">
        <v>27.842632293701172</v>
      </c>
      <c r="K10" s="35">
        <v>27.02375602722168</v>
      </c>
      <c r="L10" s="35">
        <v>27.451421737670898</v>
      </c>
      <c r="M10" s="35">
        <v>25.892826080322266</v>
      </c>
      <c r="N10" s="35">
        <v>30.391971588134766</v>
      </c>
      <c r="O10" s="35">
        <v>31.413501739501953</v>
      </c>
      <c r="P10" s="35">
        <v>32.077251434326172</v>
      </c>
      <c r="Q10" s="35">
        <v>17.091896057128906</v>
      </c>
      <c r="R10" s="18"/>
      <c r="S10" s="35">
        <f t="shared" si="2"/>
        <v>5.7713050842284943</v>
      </c>
      <c r="T10" s="35">
        <f t="shared" si="0"/>
        <v>12.446731567382813</v>
      </c>
      <c r="U10" s="35">
        <f t="shared" si="0"/>
        <v>10.750736236572266</v>
      </c>
      <c r="V10" s="35">
        <f t="shared" si="0"/>
        <v>9.9318599700927734</v>
      </c>
      <c r="W10" s="35">
        <f t="shared" si="0"/>
        <v>10.359525680541992</v>
      </c>
      <c r="X10" s="35">
        <f t="shared" si="0"/>
        <v>8.8009300231933594</v>
      </c>
      <c r="Y10" s="35">
        <f t="shared" si="0"/>
        <v>13.300075531005859</v>
      </c>
      <c r="Z10" s="35">
        <f t="shared" si="0"/>
        <v>14.321605682373047</v>
      </c>
      <c r="AA10" s="35">
        <f t="shared" si="0"/>
        <v>14.985355377197266</v>
      </c>
      <c r="AB10" s="18"/>
      <c r="AC10" s="35">
        <f t="shared" si="3"/>
        <v>0.78730508422849432</v>
      </c>
      <c r="AD10" s="35">
        <f t="shared" si="4"/>
        <v>-3.8932684326171874</v>
      </c>
      <c r="AE10" s="35">
        <f t="shared" si="5"/>
        <v>-0.71126376342773412</v>
      </c>
      <c r="AF10" s="35">
        <f t="shared" si="6"/>
        <v>-5.9001400299072273</v>
      </c>
      <c r="AG10" s="35">
        <f t="shared" si="7"/>
        <v>-6.212474319458007</v>
      </c>
      <c r="AH10" s="35">
        <f t="shared" si="8"/>
        <v>-6.1180699768066411</v>
      </c>
      <c r="AI10" s="35">
        <f t="shared" si="9"/>
        <v>-0.44092446899414028</v>
      </c>
      <c r="AJ10" s="35">
        <f t="shared" si="10"/>
        <v>-3.0943943176269535</v>
      </c>
      <c r="AK10" s="35">
        <f t="shared" si="11"/>
        <v>-0.81964462280273409</v>
      </c>
      <c r="AL10" s="18"/>
      <c r="AM10" s="35">
        <f t="shared" si="12"/>
        <v>0.57942543290018089</v>
      </c>
      <c r="AN10" s="35">
        <f t="shared" si="1"/>
        <v>14.859034100811586</v>
      </c>
      <c r="AO10" s="35">
        <f t="shared" si="1"/>
        <v>1.6372376668687383</v>
      </c>
      <c r="AP10" s="35">
        <f t="shared" si="1"/>
        <v>59.719907671044865</v>
      </c>
      <c r="AQ10" s="35">
        <f t="shared" si="1"/>
        <v>74.155115803464341</v>
      </c>
      <c r="AR10" s="35">
        <f t="shared" si="1"/>
        <v>69.458048727640232</v>
      </c>
      <c r="AS10" s="35">
        <f t="shared" si="1"/>
        <v>1.3574739086897265</v>
      </c>
      <c r="AT10" s="35">
        <f t="shared" si="1"/>
        <v>8.5409367954658375</v>
      </c>
      <c r="AU10" s="35">
        <f t="shared" si="1"/>
        <v>1.7649711759701934</v>
      </c>
    </row>
    <row r="11" spans="1:47" x14ac:dyDescent="0.2">
      <c r="A11" s="34"/>
      <c r="B11" s="18"/>
      <c r="C11" s="18"/>
      <c r="D11" s="18"/>
      <c r="E11" s="18"/>
      <c r="F11" s="18"/>
      <c r="G11" s="1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18"/>
      <c r="S11" s="35"/>
      <c r="T11" s="35"/>
      <c r="U11" s="35"/>
      <c r="V11" s="35"/>
      <c r="W11" s="35"/>
      <c r="X11" s="35"/>
      <c r="Y11" s="35"/>
      <c r="Z11" s="35"/>
      <c r="AA11" s="35"/>
      <c r="AB11" s="18"/>
      <c r="AC11" s="35"/>
      <c r="AD11" s="35"/>
      <c r="AE11" s="35"/>
      <c r="AF11" s="35"/>
      <c r="AG11" s="35"/>
      <c r="AH11" s="35"/>
      <c r="AI11" s="35"/>
      <c r="AJ11" s="35"/>
      <c r="AK11" s="35"/>
      <c r="AL11" s="18"/>
      <c r="AM11" s="35"/>
      <c r="AN11" s="35"/>
      <c r="AO11" s="35"/>
      <c r="AP11" s="35"/>
      <c r="AQ11" s="35"/>
      <c r="AR11" s="35"/>
      <c r="AS11" s="35"/>
      <c r="AT11" s="35"/>
      <c r="AU11" s="35"/>
    </row>
    <row r="12" spans="1:47" x14ac:dyDescent="0.2">
      <c r="A12" s="34"/>
      <c r="B12" s="18">
        <v>5</v>
      </c>
      <c r="C12" s="18">
        <v>1</v>
      </c>
      <c r="D12" s="18">
        <v>5651.86</v>
      </c>
      <c r="E12" s="18" t="s">
        <v>118</v>
      </c>
      <c r="F12" s="18" t="s">
        <v>119</v>
      </c>
      <c r="G12" s="18"/>
      <c r="H12" s="35">
        <v>21.204801559448242</v>
      </c>
      <c r="I12" s="35">
        <v>30.09010124206543</v>
      </c>
      <c r="J12" s="35">
        <v>27.420053482055664</v>
      </c>
      <c r="K12" s="35">
        <v>25.382865905761701</v>
      </c>
      <c r="L12" s="35">
        <v>28.014375686645508</v>
      </c>
      <c r="M12" s="35">
        <v>26.984607696533203</v>
      </c>
      <c r="N12" s="35">
        <v>31.136398315429688</v>
      </c>
      <c r="O12" s="35">
        <v>27.585651397705078</v>
      </c>
      <c r="P12" s="35">
        <v>32.033275604248047</v>
      </c>
      <c r="Q12" s="35">
        <v>18.468521118164102</v>
      </c>
      <c r="R12" s="18"/>
      <c r="S12" s="35">
        <f t="shared" si="2"/>
        <v>2.7362804412841406</v>
      </c>
      <c r="T12" s="35">
        <f t="shared" si="0"/>
        <v>11.621580123901328</v>
      </c>
      <c r="U12" s="35">
        <f t="shared" si="0"/>
        <v>8.9515323638915625</v>
      </c>
      <c r="V12" s="35">
        <f t="shared" si="0"/>
        <v>6.9143447875975994</v>
      </c>
      <c r="W12" s="35">
        <f t="shared" si="0"/>
        <v>9.5458545684814062</v>
      </c>
      <c r="X12" s="35">
        <f t="shared" si="0"/>
        <v>8.5160865783691015</v>
      </c>
      <c r="Y12" s="35">
        <f t="shared" si="0"/>
        <v>12.667877197265586</v>
      </c>
      <c r="Z12" s="35">
        <f t="shared" si="0"/>
        <v>9.1171302795409765</v>
      </c>
      <c r="AA12" s="35">
        <f t="shared" si="0"/>
        <v>13.564754486083945</v>
      </c>
      <c r="AB12" s="18"/>
      <c r="AC12" s="35">
        <f t="shared" si="3"/>
        <v>-2.2477195587158594</v>
      </c>
      <c r="AD12" s="35">
        <f t="shared" si="4"/>
        <v>-4.7184198760986718</v>
      </c>
      <c r="AE12" s="35">
        <f t="shared" si="5"/>
        <v>-2.5104676361084373</v>
      </c>
      <c r="AF12" s="35">
        <f t="shared" si="6"/>
        <v>-8.9176552124024013</v>
      </c>
      <c r="AG12" s="35">
        <f t="shared" si="7"/>
        <v>-7.0261454315185929</v>
      </c>
      <c r="AH12" s="35">
        <f t="shared" si="8"/>
        <v>-6.4029134216308989</v>
      </c>
      <c r="AI12" s="35">
        <f t="shared" si="9"/>
        <v>-1.0731228027344137</v>
      </c>
      <c r="AJ12" s="35">
        <f t="shared" si="10"/>
        <v>-8.2988697204590238</v>
      </c>
      <c r="AK12" s="35">
        <f t="shared" si="11"/>
        <v>-2.2402455139160544</v>
      </c>
      <c r="AL12" s="18"/>
      <c r="AM12" s="35">
        <f t="shared" si="12"/>
        <v>4.7493153689859131</v>
      </c>
      <c r="AN12" s="35">
        <f t="shared" si="1"/>
        <v>26.32606291428128</v>
      </c>
      <c r="AO12" s="35">
        <f t="shared" si="1"/>
        <v>5.6980474518870974</v>
      </c>
      <c r="AP12" s="35">
        <f t="shared" si="1"/>
        <v>483.59489753516641</v>
      </c>
      <c r="AQ12" s="35">
        <f t="shared" si="1"/>
        <v>130.34084397469823</v>
      </c>
      <c r="AR12" s="35">
        <f t="shared" si="1"/>
        <v>84.619216446203325</v>
      </c>
      <c r="AS12" s="35">
        <f t="shared" si="1"/>
        <v>2.1039826425649473</v>
      </c>
      <c r="AT12" s="35">
        <f t="shared" si="1"/>
        <v>314.92614422919235</v>
      </c>
      <c r="AU12" s="35">
        <f t="shared" si="1"/>
        <v>4.7247746265949733</v>
      </c>
    </row>
    <row r="13" spans="1:47" x14ac:dyDescent="0.2">
      <c r="A13" s="34"/>
      <c r="B13" s="18">
        <v>2</v>
      </c>
      <c r="C13" s="18">
        <v>2</v>
      </c>
      <c r="D13" s="18">
        <v>4741.7</v>
      </c>
      <c r="E13" s="18" t="s">
        <v>118</v>
      </c>
      <c r="F13" s="18" t="s">
        <v>119</v>
      </c>
      <c r="G13" s="18"/>
      <c r="H13" s="35">
        <v>22.1818733215332</v>
      </c>
      <c r="I13" s="35">
        <v>30.454803466796875</v>
      </c>
      <c r="J13" s="35">
        <v>28.87873649597168</v>
      </c>
      <c r="K13" s="35">
        <v>27.316534042358398</v>
      </c>
      <c r="L13" s="35">
        <v>28.5394287109375</v>
      </c>
      <c r="M13" s="35">
        <v>27.95496940612793</v>
      </c>
      <c r="N13" s="35">
        <v>31.0727233886718</v>
      </c>
      <c r="O13" s="35">
        <v>28.6490669250488</v>
      </c>
      <c r="P13" s="35">
        <v>32.89715576171875</v>
      </c>
      <c r="Q13" s="35">
        <v>18.762460708618164</v>
      </c>
      <c r="R13" s="18"/>
      <c r="S13" s="35">
        <f t="shared" si="2"/>
        <v>3.4194126129150355</v>
      </c>
      <c r="T13" s="35">
        <f t="shared" si="0"/>
        <v>11.692342758178711</v>
      </c>
      <c r="U13" s="35">
        <f t="shared" si="0"/>
        <v>10.116275787353516</v>
      </c>
      <c r="V13" s="35">
        <f t="shared" si="0"/>
        <v>8.5540733337402344</v>
      </c>
      <c r="W13" s="35">
        <f t="shared" si="0"/>
        <v>9.7769680023193359</v>
      </c>
      <c r="X13" s="35">
        <f t="shared" si="0"/>
        <v>9.1925086975097656</v>
      </c>
      <c r="Y13" s="35">
        <f t="shared" si="0"/>
        <v>12.310262680053636</v>
      </c>
      <c r="Z13" s="35">
        <f t="shared" si="0"/>
        <v>9.8866062164306356</v>
      </c>
      <c r="AA13" s="35">
        <f t="shared" si="0"/>
        <v>14.134695053100586</v>
      </c>
      <c r="AB13" s="18"/>
      <c r="AC13" s="35">
        <f t="shared" si="3"/>
        <v>-1.5645873870849645</v>
      </c>
      <c r="AD13" s="35">
        <f t="shared" si="4"/>
        <v>-4.6476572418212889</v>
      </c>
      <c r="AE13" s="35">
        <f t="shared" si="5"/>
        <v>-1.3457242126464841</v>
      </c>
      <c r="AF13" s="35">
        <f t="shared" si="6"/>
        <v>-7.2779266662597664</v>
      </c>
      <c r="AG13" s="35">
        <f t="shared" si="7"/>
        <v>-6.7950319976806632</v>
      </c>
      <c r="AH13" s="35">
        <f t="shared" si="8"/>
        <v>-5.7264913024902349</v>
      </c>
      <c r="AI13" s="35">
        <f t="shared" si="9"/>
        <v>-1.4307373199463633</v>
      </c>
      <c r="AJ13" s="35">
        <f t="shared" si="10"/>
        <v>-7.5293937835693647</v>
      </c>
      <c r="AK13" s="35">
        <f t="shared" si="11"/>
        <v>-1.6703049468994138</v>
      </c>
      <c r="AL13" s="18"/>
      <c r="AM13" s="35">
        <f t="shared" si="12"/>
        <v>2.9579289254648828</v>
      </c>
      <c r="AN13" s="35">
        <f t="shared" si="1"/>
        <v>25.065954058779209</v>
      </c>
      <c r="AO13" s="35">
        <f t="shared" si="1"/>
        <v>2.5415774811018381</v>
      </c>
      <c r="AP13" s="35">
        <f t="shared" si="1"/>
        <v>155.19375197411429</v>
      </c>
      <c r="AQ13" s="35">
        <f t="shared" si="1"/>
        <v>111.04741486010823</v>
      </c>
      <c r="AR13" s="35">
        <f t="shared" si="1"/>
        <v>52.947523521536873</v>
      </c>
      <c r="AS13" s="35">
        <f t="shared" si="1"/>
        <v>2.6958445703551766</v>
      </c>
      <c r="AT13" s="35">
        <f t="shared" si="1"/>
        <v>184.7452912588615</v>
      </c>
      <c r="AU13" s="35">
        <f t="shared" si="1"/>
        <v>3.1828186261101536</v>
      </c>
    </row>
    <row r="14" spans="1:47" x14ac:dyDescent="0.2">
      <c r="A14" s="34"/>
      <c r="B14" s="18">
        <v>3</v>
      </c>
      <c r="C14" s="18">
        <v>3</v>
      </c>
      <c r="D14" s="18">
        <v>4741.8</v>
      </c>
      <c r="E14" s="18" t="s">
        <v>118</v>
      </c>
      <c r="F14" s="18" t="s">
        <v>119</v>
      </c>
      <c r="G14" s="18"/>
      <c r="H14" s="35">
        <v>21.511747360229492</v>
      </c>
      <c r="I14" s="35">
        <v>28.813541412353501</v>
      </c>
      <c r="J14" s="35">
        <v>28.743824005126953</v>
      </c>
      <c r="K14" s="35">
        <v>25.616069793701172</v>
      </c>
      <c r="L14" s="35">
        <v>27.3372802734375</v>
      </c>
      <c r="M14" s="35">
        <v>27.604913711547852</v>
      </c>
      <c r="N14" s="35">
        <v>29.378231048583984</v>
      </c>
      <c r="O14" s="35">
        <v>27.95887565612793</v>
      </c>
      <c r="P14" s="35">
        <v>32.927616119384766</v>
      </c>
      <c r="Q14" s="35">
        <v>18.669395446777344</v>
      </c>
      <c r="R14" s="18"/>
      <c r="S14" s="35">
        <f t="shared" si="2"/>
        <v>2.8423519134521484</v>
      </c>
      <c r="T14" s="35">
        <f t="shared" si="0"/>
        <v>10.144145965576158</v>
      </c>
      <c r="U14" s="35">
        <f t="shared" si="0"/>
        <v>10.074428558349609</v>
      </c>
      <c r="V14" s="35">
        <f t="shared" si="0"/>
        <v>6.9466743469238281</v>
      </c>
      <c r="W14" s="35">
        <f t="shared" si="0"/>
        <v>8.6678848266601563</v>
      </c>
      <c r="X14" s="35">
        <f t="shared" si="0"/>
        <v>8.9355182647705078</v>
      </c>
      <c r="Y14" s="35">
        <f t="shared" si="0"/>
        <v>10.708835601806641</v>
      </c>
      <c r="Z14" s="35">
        <f t="shared" si="0"/>
        <v>9.2894802093505859</v>
      </c>
      <c r="AA14" s="35">
        <f t="shared" si="0"/>
        <v>14.258220672607422</v>
      </c>
      <c r="AB14" s="18"/>
      <c r="AC14" s="35">
        <f t="shared" si="3"/>
        <v>-2.1416480865478515</v>
      </c>
      <c r="AD14" s="35">
        <f t="shared" si="4"/>
        <v>-6.1958540344238422</v>
      </c>
      <c r="AE14" s="35">
        <f t="shared" si="5"/>
        <v>-1.3875714416503904</v>
      </c>
      <c r="AF14" s="35">
        <f t="shared" si="6"/>
        <v>-8.8853256530761726</v>
      </c>
      <c r="AG14" s="35">
        <f t="shared" si="7"/>
        <v>-7.9041151733398429</v>
      </c>
      <c r="AH14" s="35">
        <f t="shared" si="8"/>
        <v>-5.9834817352294927</v>
      </c>
      <c r="AI14" s="35">
        <f t="shared" si="9"/>
        <v>-3.032164398193359</v>
      </c>
      <c r="AJ14" s="35">
        <f t="shared" si="10"/>
        <v>-8.1265197906494144</v>
      </c>
      <c r="AK14" s="35">
        <f t="shared" si="11"/>
        <v>-1.5467793273925778</v>
      </c>
      <c r="AL14" s="18"/>
      <c r="AM14" s="35">
        <f t="shared" si="12"/>
        <v>4.4126584587331497</v>
      </c>
      <c r="AN14" s="35">
        <f t="shared" si="1"/>
        <v>73.305728342424757</v>
      </c>
      <c r="AO14" s="35">
        <f t="shared" si="1"/>
        <v>2.6163788216373431</v>
      </c>
      <c r="AP14" s="35">
        <f t="shared" si="1"/>
        <v>472.87847178226588</v>
      </c>
      <c r="AQ14" s="35">
        <f t="shared" si="1"/>
        <v>239.53873755619998</v>
      </c>
      <c r="AR14" s="35">
        <f t="shared" si="1"/>
        <v>63.27140534021509</v>
      </c>
      <c r="AS14" s="35">
        <f t="shared" si="1"/>
        <v>8.1803603613736726</v>
      </c>
      <c r="AT14" s="35">
        <f t="shared" si="1"/>
        <v>279.46422295222823</v>
      </c>
      <c r="AU14" s="35">
        <f t="shared" si="1"/>
        <v>2.9216418326800051</v>
      </c>
    </row>
    <row r="15" spans="1:47" x14ac:dyDescent="0.2">
      <c r="A15" s="34"/>
      <c r="B15" s="18">
        <v>4</v>
      </c>
      <c r="C15" s="18">
        <v>1</v>
      </c>
      <c r="D15" s="18">
        <v>4977.6000000000004</v>
      </c>
      <c r="E15" s="18" t="s">
        <v>118</v>
      </c>
      <c r="F15" s="18" t="s">
        <v>119</v>
      </c>
      <c r="G15" s="18"/>
      <c r="H15" s="35">
        <v>22.262409210205078</v>
      </c>
      <c r="I15" s="35">
        <v>29.106107711791992</v>
      </c>
      <c r="J15" s="35">
        <v>28.091960906982422</v>
      </c>
      <c r="K15" s="35">
        <v>25.833391189575195</v>
      </c>
      <c r="L15" s="35">
        <v>27.137100219726563</v>
      </c>
      <c r="M15" s="35">
        <v>26.831815719604492</v>
      </c>
      <c r="N15" s="35">
        <v>29.597877502441406</v>
      </c>
      <c r="O15" s="35">
        <v>28.470544815063477</v>
      </c>
      <c r="P15" s="35">
        <v>32.482658386230469</v>
      </c>
      <c r="Q15" s="35">
        <v>18.668758392333984</v>
      </c>
      <c r="R15" s="18"/>
      <c r="S15" s="35">
        <f t="shared" si="2"/>
        <v>3.5936508178710938</v>
      </c>
      <c r="T15" s="35">
        <f t="shared" si="0"/>
        <v>10.437349319458008</v>
      </c>
      <c r="U15" s="35">
        <f t="shared" si="0"/>
        <v>9.4232025146484375</v>
      </c>
      <c r="V15" s="35">
        <f t="shared" si="0"/>
        <v>7.1646327972412109</v>
      </c>
      <c r="W15" s="35">
        <f t="shared" si="0"/>
        <v>8.4683418273925781</v>
      </c>
      <c r="X15" s="35">
        <f t="shared" si="0"/>
        <v>8.1630573272705078</v>
      </c>
      <c r="Y15" s="35">
        <f t="shared" si="0"/>
        <v>10.929119110107422</v>
      </c>
      <c r="Z15" s="35">
        <f t="shared" si="0"/>
        <v>9.8017864227294922</v>
      </c>
      <c r="AA15" s="35">
        <f t="shared" si="0"/>
        <v>13.813899993896484</v>
      </c>
      <c r="AB15" s="18"/>
      <c r="AC15" s="35">
        <f t="shared" si="3"/>
        <v>-1.3903491821289062</v>
      </c>
      <c r="AD15" s="35">
        <f t="shared" si="4"/>
        <v>-5.902650680541992</v>
      </c>
      <c r="AE15" s="35">
        <f t="shared" si="5"/>
        <v>-2.0387974853515622</v>
      </c>
      <c r="AF15" s="35">
        <f t="shared" si="6"/>
        <v>-8.6673672027587898</v>
      </c>
      <c r="AG15" s="35">
        <f t="shared" si="7"/>
        <v>-8.1036581726074211</v>
      </c>
      <c r="AH15" s="35">
        <f t="shared" si="8"/>
        <v>-6.7559426727294927</v>
      </c>
      <c r="AI15" s="35">
        <f t="shared" si="9"/>
        <v>-2.8118808898925778</v>
      </c>
      <c r="AJ15" s="35">
        <f t="shared" si="10"/>
        <v>-7.6142135772705082</v>
      </c>
      <c r="AK15" s="35">
        <f t="shared" si="11"/>
        <v>-1.9911000061035153</v>
      </c>
      <c r="AL15" s="18"/>
      <c r="AM15" s="35">
        <f t="shared" si="12"/>
        <v>2.6214212055948094</v>
      </c>
      <c r="AN15" s="35">
        <f t="shared" si="1"/>
        <v>59.823925747284953</v>
      </c>
      <c r="AO15" s="35">
        <f t="shared" si="1"/>
        <v>4.1090289225427785</v>
      </c>
      <c r="AP15" s="35">
        <f t="shared" si="1"/>
        <v>406.57204244413532</v>
      </c>
      <c r="AQ15" s="35">
        <f t="shared" si="1"/>
        <v>275.0706062094165</v>
      </c>
      <c r="AR15" s="35">
        <f t="shared" si="1"/>
        <v>108.07901885152506</v>
      </c>
      <c r="AS15" s="35">
        <f t="shared" si="1"/>
        <v>7.0219946152037629</v>
      </c>
      <c r="AT15" s="35">
        <f t="shared" si="1"/>
        <v>195.93259034566714</v>
      </c>
      <c r="AU15" s="35">
        <f t="shared" si="1"/>
        <v>3.9753999342833786</v>
      </c>
    </row>
    <row r="16" spans="1:47" x14ac:dyDescent="0.2">
      <c r="A16" s="34"/>
      <c r="B16" s="18">
        <v>5</v>
      </c>
      <c r="C16" s="18">
        <v>2</v>
      </c>
      <c r="D16" s="18">
        <v>4918.87</v>
      </c>
      <c r="E16" s="18" t="s">
        <v>118</v>
      </c>
      <c r="F16" s="18" t="s">
        <v>119</v>
      </c>
      <c r="G16" s="18"/>
      <c r="H16" s="35">
        <v>21.058320999145508</v>
      </c>
      <c r="I16" s="35">
        <v>28.578594207763672</v>
      </c>
      <c r="J16" s="35">
        <v>28.653802871704102</v>
      </c>
      <c r="K16" s="35">
        <v>25.8042392730712</v>
      </c>
      <c r="L16" s="35">
        <v>27.917253494262695</v>
      </c>
      <c r="M16" s="35">
        <v>27.269767761230469</v>
      </c>
      <c r="N16" s="35">
        <v>30.626453399658203</v>
      </c>
      <c r="O16" s="35">
        <v>27.605031967163086</v>
      </c>
      <c r="P16" s="35">
        <v>31.669965744018555</v>
      </c>
      <c r="Q16" s="35">
        <v>18.503832244872999</v>
      </c>
      <c r="R16" s="18"/>
      <c r="S16" s="35">
        <f t="shared" si="2"/>
        <v>2.5544887542725085</v>
      </c>
      <c r="T16" s="35">
        <f t="shared" si="0"/>
        <v>10.074761962890673</v>
      </c>
      <c r="U16" s="35">
        <f t="shared" si="0"/>
        <v>10.149970626831102</v>
      </c>
      <c r="V16" s="35">
        <f t="shared" si="0"/>
        <v>7.300407028198201</v>
      </c>
      <c r="W16" s="35">
        <f t="shared" si="0"/>
        <v>9.413421249389696</v>
      </c>
      <c r="X16" s="35">
        <f t="shared" si="0"/>
        <v>8.7659355163574695</v>
      </c>
      <c r="Y16" s="35">
        <f t="shared" si="0"/>
        <v>12.122621154785204</v>
      </c>
      <c r="Z16" s="35">
        <f t="shared" si="0"/>
        <v>9.1011997222900867</v>
      </c>
      <c r="AA16" s="35">
        <f t="shared" si="0"/>
        <v>13.166133499145555</v>
      </c>
      <c r="AB16" s="18"/>
      <c r="AC16" s="35">
        <f t="shared" si="3"/>
        <v>-2.4295112457274914</v>
      </c>
      <c r="AD16" s="35">
        <f t="shared" si="4"/>
        <v>-6.2652380371093273</v>
      </c>
      <c r="AE16" s="35">
        <f t="shared" si="5"/>
        <v>-1.3120293731688975</v>
      </c>
      <c r="AF16" s="35">
        <f t="shared" si="6"/>
        <v>-8.5315929718017998</v>
      </c>
      <c r="AG16" s="35">
        <f t="shared" si="7"/>
        <v>-7.1585787506103031</v>
      </c>
      <c r="AH16" s="35">
        <f t="shared" si="8"/>
        <v>-6.153064483642531</v>
      </c>
      <c r="AI16" s="35">
        <f t="shared" si="9"/>
        <v>-1.6183788452147958</v>
      </c>
      <c r="AJ16" s="35">
        <f t="shared" si="10"/>
        <v>-8.3148002777099137</v>
      </c>
      <c r="AK16" s="35">
        <f t="shared" si="11"/>
        <v>-2.6388665008544443</v>
      </c>
      <c r="AL16" s="18"/>
      <c r="AM16" s="35">
        <f t="shared" si="12"/>
        <v>5.3871089608065175</v>
      </c>
      <c r="AN16" s="35">
        <f t="shared" si="1"/>
        <v>76.917397089600215</v>
      </c>
      <c r="AO16" s="35">
        <f t="shared" si="1"/>
        <v>2.4829055343185149</v>
      </c>
      <c r="AP16" s="35">
        <f t="shared" si="1"/>
        <v>370.05424910353247</v>
      </c>
      <c r="AQ16" s="35">
        <f t="shared" si="1"/>
        <v>142.87193617661572</v>
      </c>
      <c r="AR16" s="35">
        <f t="shared" si="1"/>
        <v>71.163446778041219</v>
      </c>
      <c r="AS16" s="35">
        <f t="shared" si="1"/>
        <v>3.0702983326554887</v>
      </c>
      <c r="AT16" s="35">
        <f t="shared" si="1"/>
        <v>318.42289870056948</v>
      </c>
      <c r="AU16" s="35">
        <f t="shared" si="1"/>
        <v>6.2284211576380191</v>
      </c>
    </row>
    <row r="17" spans="1:47" x14ac:dyDescent="0.2">
      <c r="A17" s="34"/>
      <c r="B17" s="18">
        <v>1</v>
      </c>
      <c r="C17" s="18">
        <v>1</v>
      </c>
      <c r="D17" s="18">
        <v>4741.1000000000004</v>
      </c>
      <c r="E17" s="18" t="s">
        <v>118</v>
      </c>
      <c r="F17" s="18" t="s">
        <v>119</v>
      </c>
      <c r="G17" s="18"/>
      <c r="H17" s="35">
        <v>22.229379653930664</v>
      </c>
      <c r="I17" s="35">
        <v>29.417045593261719</v>
      </c>
      <c r="J17" s="35">
        <v>27.8232421875</v>
      </c>
      <c r="K17" s="35">
        <v>26.210189819335938</v>
      </c>
      <c r="L17" s="35">
        <v>27.592248916625977</v>
      </c>
      <c r="M17" s="35">
        <v>26.327341079711914</v>
      </c>
      <c r="N17" s="35">
        <v>30.904117584228516</v>
      </c>
      <c r="O17" s="35">
        <v>28.101985931396484</v>
      </c>
      <c r="P17" s="35">
        <v>33.490169525146484</v>
      </c>
      <c r="Q17" s="35">
        <v>18.689804077148438</v>
      </c>
      <c r="R17" s="18"/>
      <c r="S17" s="35">
        <f t="shared" si="2"/>
        <v>3.5395755767822266</v>
      </c>
      <c r="T17" s="35">
        <f t="shared" si="0"/>
        <v>10.727241516113281</v>
      </c>
      <c r="U17" s="35">
        <f t="shared" si="0"/>
        <v>9.1334381103515625</v>
      </c>
      <c r="V17" s="35">
        <f t="shared" si="0"/>
        <v>7.5203857421875</v>
      </c>
      <c r="W17" s="35">
        <f t="shared" si="0"/>
        <v>8.9024448394775391</v>
      </c>
      <c r="X17" s="35">
        <f t="shared" si="0"/>
        <v>7.6375370025634766</v>
      </c>
      <c r="Y17" s="35">
        <f t="shared" si="0"/>
        <v>12.214313507080078</v>
      </c>
      <c r="Z17" s="35">
        <f t="shared" si="0"/>
        <v>9.4121818542480469</v>
      </c>
      <c r="AA17" s="35">
        <f t="shared" si="0"/>
        <v>14.800365447998047</v>
      </c>
      <c r="AB17" s="18"/>
      <c r="AC17" s="35">
        <f t="shared" si="3"/>
        <v>-1.4444244232177734</v>
      </c>
      <c r="AD17" s="35">
        <f t="shared" si="4"/>
        <v>-5.6127584838867186</v>
      </c>
      <c r="AE17" s="35">
        <f t="shared" si="5"/>
        <v>-2.3285618896484372</v>
      </c>
      <c r="AF17" s="35">
        <f t="shared" si="6"/>
        <v>-8.3116142578125007</v>
      </c>
      <c r="AG17" s="35">
        <f t="shared" si="7"/>
        <v>-7.6695551605224601</v>
      </c>
      <c r="AH17" s="35">
        <f t="shared" si="8"/>
        <v>-7.2814629974365239</v>
      </c>
      <c r="AI17" s="35">
        <f t="shared" si="9"/>
        <v>-1.5266864929199215</v>
      </c>
      <c r="AJ17" s="35">
        <f t="shared" si="10"/>
        <v>-8.0038181457519535</v>
      </c>
      <c r="AK17" s="35">
        <f t="shared" si="11"/>
        <v>-1.0046345520019528</v>
      </c>
      <c r="AL17" s="18"/>
      <c r="AM17" s="35">
        <f t="shared" si="12"/>
        <v>2.7215422314575779</v>
      </c>
      <c r="AN17" s="35">
        <f t="shared" si="1"/>
        <v>48.933768389676779</v>
      </c>
      <c r="AO17" s="35">
        <f t="shared" si="1"/>
        <v>5.0230439203056694</v>
      </c>
      <c r="AP17" s="35">
        <f t="shared" si="1"/>
        <v>317.72047560802019</v>
      </c>
      <c r="AQ17" s="35">
        <f t="shared" si="1"/>
        <v>203.59455397414848</v>
      </c>
      <c r="AR17" s="35">
        <f t="shared" si="1"/>
        <v>155.57462919822828</v>
      </c>
      <c r="AS17" s="35">
        <f t="shared" si="1"/>
        <v>2.881233318773583</v>
      </c>
      <c r="AT17" s="35">
        <f t="shared" si="1"/>
        <v>256.67841078614697</v>
      </c>
      <c r="AU17" s="35">
        <f t="shared" si="1"/>
        <v>2.0064351840509178</v>
      </c>
    </row>
    <row r="18" spans="1:47" x14ac:dyDescent="0.2">
      <c r="A18" s="34"/>
      <c r="B18" s="18"/>
      <c r="C18" s="18"/>
      <c r="D18" s="18"/>
      <c r="E18" s="18"/>
      <c r="F18" s="18"/>
      <c r="G18" s="18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18"/>
      <c r="S18" s="35"/>
      <c r="T18" s="35"/>
      <c r="U18" s="35"/>
      <c r="V18" s="35"/>
      <c r="W18" s="35"/>
      <c r="X18" s="35"/>
      <c r="Y18" s="35"/>
      <c r="Z18" s="35"/>
      <c r="AA18" s="35"/>
      <c r="AB18" s="18"/>
      <c r="AC18" s="35"/>
      <c r="AD18" s="35"/>
      <c r="AE18" s="35"/>
      <c r="AF18" s="35"/>
      <c r="AG18" s="35"/>
      <c r="AH18" s="35"/>
      <c r="AI18" s="35"/>
      <c r="AJ18" s="35"/>
      <c r="AK18" s="35"/>
      <c r="AL18" s="18"/>
      <c r="AM18" s="35"/>
      <c r="AN18" s="35"/>
      <c r="AO18" s="35"/>
      <c r="AP18" s="35"/>
      <c r="AQ18" s="35"/>
      <c r="AR18" s="35"/>
      <c r="AS18" s="35"/>
      <c r="AT18" s="35"/>
      <c r="AU18" s="35"/>
    </row>
    <row r="19" spans="1:47" x14ac:dyDescent="0.2">
      <c r="A19" s="34"/>
      <c r="B19" s="18">
        <v>24</v>
      </c>
      <c r="C19" s="18">
        <v>24</v>
      </c>
      <c r="D19" s="18">
        <v>5340.1</v>
      </c>
      <c r="E19" s="18" t="s">
        <v>120</v>
      </c>
      <c r="F19" s="18" t="s">
        <v>121</v>
      </c>
      <c r="G19" s="18"/>
      <c r="H19" s="35">
        <v>23.558391571044922</v>
      </c>
      <c r="I19" s="35">
        <v>34.743915557861328</v>
      </c>
      <c r="J19" s="35">
        <v>29.915515899658203</v>
      </c>
      <c r="K19" s="35">
        <v>34.656227111816406</v>
      </c>
      <c r="L19" s="35">
        <v>35.480049133300781</v>
      </c>
      <c r="M19" s="35">
        <v>33.098712921142578</v>
      </c>
      <c r="N19" s="35">
        <v>32.466560363769531</v>
      </c>
      <c r="O19" s="35">
        <v>35.347698211669922</v>
      </c>
      <c r="P19" s="35">
        <v>34.833999633789063</v>
      </c>
      <c r="Q19" s="35">
        <v>17.928741455078125</v>
      </c>
      <c r="R19" s="18"/>
      <c r="S19" s="35">
        <f t="shared" si="2"/>
        <v>5.6296501159667969</v>
      </c>
      <c r="T19" s="35">
        <f t="shared" si="0"/>
        <v>16.815174102783203</v>
      </c>
      <c r="U19" s="35">
        <f t="shared" si="0"/>
        <v>11.986774444580078</v>
      </c>
      <c r="V19" s="35">
        <f t="shared" si="0"/>
        <v>16.727485656738281</v>
      </c>
      <c r="W19" s="35">
        <f t="shared" si="0"/>
        <v>17.551307678222656</v>
      </c>
      <c r="X19" s="35">
        <f t="shared" si="0"/>
        <v>15.169971466064453</v>
      </c>
      <c r="Y19" s="35">
        <f t="shared" si="0"/>
        <v>14.537818908691406</v>
      </c>
      <c r="Z19" s="35">
        <f t="shared" si="0"/>
        <v>17.418956756591797</v>
      </c>
      <c r="AA19" s="35">
        <f t="shared" si="0"/>
        <v>16.905258178710938</v>
      </c>
      <c r="AB19" s="18"/>
      <c r="AC19" s="35">
        <f t="shared" si="3"/>
        <v>0.64565011596679689</v>
      </c>
      <c r="AD19" s="35">
        <f t="shared" si="4"/>
        <v>0.47517410278320327</v>
      </c>
      <c r="AE19" s="35">
        <f t="shared" si="5"/>
        <v>0.52477444458007838</v>
      </c>
      <c r="AF19" s="35">
        <f t="shared" si="6"/>
        <v>0.89548565673828051</v>
      </c>
      <c r="AG19" s="35">
        <f t="shared" si="7"/>
        <v>0.97930767822265707</v>
      </c>
      <c r="AH19" s="35">
        <f t="shared" si="8"/>
        <v>0.25097146606445264</v>
      </c>
      <c r="AI19" s="35">
        <f t="shared" si="9"/>
        <v>0.79681890869140659</v>
      </c>
      <c r="AJ19" s="35">
        <f t="shared" si="10"/>
        <v>2.9567565917965055E-3</v>
      </c>
      <c r="AK19" s="35">
        <f t="shared" si="11"/>
        <v>1.1002581787109378</v>
      </c>
      <c r="AL19" s="18"/>
      <c r="AM19" s="35">
        <f t="shared" si="12"/>
        <v>0.63920468344801284</v>
      </c>
      <c r="AN19" s="35">
        <f t="shared" si="1"/>
        <v>0.71937997081692662</v>
      </c>
      <c r="AO19" s="35">
        <f t="shared" si="1"/>
        <v>0.69506777047907797</v>
      </c>
      <c r="AP19" s="35">
        <f t="shared" si="1"/>
        <v>0.53756620299613878</v>
      </c>
      <c r="AQ19" s="35">
        <f t="shared" si="1"/>
        <v>0.50722308816721873</v>
      </c>
      <c r="AR19" s="35">
        <f t="shared" si="1"/>
        <v>0.84033037230535768</v>
      </c>
      <c r="AS19" s="35">
        <f t="shared" si="1"/>
        <v>0.57561699426102197</v>
      </c>
      <c r="AT19" s="35">
        <f t="shared" si="1"/>
        <v>0.99795263122930056</v>
      </c>
      <c r="AU19" s="35">
        <f t="shared" si="1"/>
        <v>0.46643301738412768</v>
      </c>
    </row>
    <row r="20" spans="1:47" x14ac:dyDescent="0.2">
      <c r="A20" s="34"/>
      <c r="B20" s="18">
        <v>30</v>
      </c>
      <c r="C20" s="18">
        <v>30</v>
      </c>
      <c r="D20" s="18">
        <v>5340.2</v>
      </c>
      <c r="E20" s="18" t="s">
        <v>120</v>
      </c>
      <c r="F20" s="18" t="s">
        <v>121</v>
      </c>
      <c r="G20" s="18"/>
      <c r="H20" s="35">
        <v>22.364156723022461</v>
      </c>
      <c r="I20" s="35">
        <v>33.688930511474609</v>
      </c>
      <c r="J20" s="35">
        <v>29.406999588012695</v>
      </c>
      <c r="K20" s="35">
        <v>34.135482788085938</v>
      </c>
      <c r="L20" s="35">
        <v>35.818649291992188</v>
      </c>
      <c r="M20" s="35">
        <v>32.654373168945313</v>
      </c>
      <c r="N20" s="35">
        <v>31.879705429077148</v>
      </c>
      <c r="O20" s="35">
        <v>36.750030517578097</v>
      </c>
      <c r="P20" s="35">
        <v>34.329761505126953</v>
      </c>
      <c r="Q20" s="35">
        <v>18.853044509887695</v>
      </c>
      <c r="R20" s="18"/>
      <c r="S20" s="35">
        <f t="shared" si="2"/>
        <v>3.5111122131347656</v>
      </c>
      <c r="T20" s="35">
        <f t="shared" si="0"/>
        <v>14.835886001586914</v>
      </c>
      <c r="U20" s="35">
        <f t="shared" si="0"/>
        <v>10.553955078125</v>
      </c>
      <c r="V20" s="35">
        <f t="shared" si="0"/>
        <v>15.282438278198242</v>
      </c>
      <c r="W20" s="35">
        <f t="shared" si="0"/>
        <v>16.965604782104492</v>
      </c>
      <c r="X20" s="35">
        <f t="shared" si="0"/>
        <v>13.801328659057617</v>
      </c>
      <c r="Y20" s="35">
        <f t="shared" si="0"/>
        <v>13.026660919189453</v>
      </c>
      <c r="Z20" s="35">
        <f t="shared" si="0"/>
        <v>17.896986007690401</v>
      </c>
      <c r="AA20" s="35">
        <f t="shared" si="0"/>
        <v>15.476716995239258</v>
      </c>
      <c r="AB20" s="18"/>
      <c r="AC20" s="35">
        <f t="shared" si="3"/>
        <v>-1.4728877868652344</v>
      </c>
      <c r="AD20" s="35">
        <f t="shared" si="4"/>
        <v>-1.5041139984130858</v>
      </c>
      <c r="AE20" s="35">
        <f t="shared" si="5"/>
        <v>-0.90804492187499974</v>
      </c>
      <c r="AF20" s="35">
        <f t="shared" si="6"/>
        <v>-0.54956172180175855</v>
      </c>
      <c r="AG20" s="35">
        <f t="shared" si="7"/>
        <v>0.39360478210449301</v>
      </c>
      <c r="AH20" s="35">
        <f t="shared" si="8"/>
        <v>-1.1176713409423833</v>
      </c>
      <c r="AI20" s="35">
        <f t="shared" si="9"/>
        <v>-0.71433908081054653</v>
      </c>
      <c r="AJ20" s="35">
        <f t="shared" si="10"/>
        <v>0.4809860076904009</v>
      </c>
      <c r="AK20" s="35">
        <f t="shared" si="11"/>
        <v>-0.3282830047607419</v>
      </c>
      <c r="AL20" s="18"/>
      <c r="AM20" s="35">
        <f t="shared" si="12"/>
        <v>2.7757695296755003</v>
      </c>
      <c r="AN20" s="35">
        <f t="shared" si="1"/>
        <v>2.8365041964808753</v>
      </c>
      <c r="AO20" s="35">
        <f t="shared" si="1"/>
        <v>1.8765008215815948</v>
      </c>
      <c r="AP20" s="35">
        <f t="shared" si="1"/>
        <v>1.4636409870053049</v>
      </c>
      <c r="AQ20" s="35">
        <f t="shared" si="1"/>
        <v>0.7612251950632869</v>
      </c>
      <c r="AR20" s="35">
        <f t="shared" si="1"/>
        <v>2.1699643498283065</v>
      </c>
      <c r="AS20" s="35">
        <f t="shared" si="1"/>
        <v>1.6407314029521924</v>
      </c>
      <c r="AT20" s="35">
        <f t="shared" si="1"/>
        <v>0.71648777417428455</v>
      </c>
      <c r="AU20" s="35">
        <f t="shared" si="1"/>
        <v>1.2555182545504779</v>
      </c>
    </row>
    <row r="21" spans="1:47" x14ac:dyDescent="0.2">
      <c r="A21" s="34"/>
      <c r="B21" s="18">
        <v>2</v>
      </c>
      <c r="C21" s="18">
        <v>2</v>
      </c>
      <c r="D21" s="18">
        <v>4892.97</v>
      </c>
      <c r="E21" s="18" t="s">
        <v>120</v>
      </c>
      <c r="F21" s="18" t="s">
        <v>121</v>
      </c>
      <c r="G21" s="18"/>
      <c r="H21" s="35">
        <v>23.937271118164063</v>
      </c>
      <c r="I21" s="35">
        <v>33.463161468505859</v>
      </c>
      <c r="J21" s="35">
        <v>29.7962646484375</v>
      </c>
      <c r="K21" s="35">
        <v>35.386745452880859</v>
      </c>
      <c r="L21" s="35">
        <v>33.64349365234375</v>
      </c>
      <c r="M21" s="35">
        <v>33.472549438476563</v>
      </c>
      <c r="N21" s="35">
        <v>32.301780700683594</v>
      </c>
      <c r="O21" s="35">
        <v>35.664154052734375</v>
      </c>
      <c r="P21" s="35">
        <v>34.154567718505859</v>
      </c>
      <c r="Q21" s="35">
        <v>17.960563659667969</v>
      </c>
      <c r="R21" s="18"/>
      <c r="S21" s="35">
        <f t="shared" si="2"/>
        <v>5.9767074584960938</v>
      </c>
      <c r="T21" s="35">
        <f t="shared" si="0"/>
        <v>15.502597808837891</v>
      </c>
      <c r="U21" s="35">
        <f t="shared" si="0"/>
        <v>11.835700988769531</v>
      </c>
      <c r="V21" s="35">
        <f t="shared" si="0"/>
        <v>17.426181793212891</v>
      </c>
      <c r="W21" s="35">
        <f t="shared" si="0"/>
        <v>15.682929992675781</v>
      </c>
      <c r="X21" s="35">
        <f t="shared" si="0"/>
        <v>15.511985778808594</v>
      </c>
      <c r="Y21" s="35">
        <f t="shared" si="0"/>
        <v>14.341217041015625</v>
      </c>
      <c r="Z21" s="35">
        <f t="shared" si="0"/>
        <v>17.703590393066406</v>
      </c>
      <c r="AA21" s="35">
        <f t="shared" si="0"/>
        <v>16.194004058837891</v>
      </c>
      <c r="AB21" s="18"/>
      <c r="AC21" s="35">
        <f t="shared" si="3"/>
        <v>0.99270745849609376</v>
      </c>
      <c r="AD21" s="35">
        <f t="shared" si="4"/>
        <v>-0.83740219116210923</v>
      </c>
      <c r="AE21" s="35">
        <f t="shared" si="5"/>
        <v>0.37370098876953151</v>
      </c>
      <c r="AF21" s="35">
        <f t="shared" si="6"/>
        <v>1.5941817932128899</v>
      </c>
      <c r="AG21" s="35">
        <f t="shared" si="7"/>
        <v>-0.88907000732421793</v>
      </c>
      <c r="AH21" s="35">
        <f t="shared" si="8"/>
        <v>0.59298577880859327</v>
      </c>
      <c r="AI21" s="35">
        <f t="shared" si="9"/>
        <v>0.60021704101562534</v>
      </c>
      <c r="AJ21" s="35">
        <f t="shared" si="10"/>
        <v>0.28759039306640588</v>
      </c>
      <c r="AK21" s="35">
        <f t="shared" si="11"/>
        <v>0.38900405883789091</v>
      </c>
      <c r="AL21" s="18"/>
      <c r="AM21" s="35">
        <f t="shared" si="12"/>
        <v>0.50253380083019483</v>
      </c>
      <c r="AN21" s="35">
        <f t="shared" si="1"/>
        <v>1.7868297635167285</v>
      </c>
      <c r="AO21" s="35">
        <f t="shared" si="1"/>
        <v>0.77180003329588043</v>
      </c>
      <c r="AP21" s="35">
        <f t="shared" si="1"/>
        <v>0.33121001603871603</v>
      </c>
      <c r="AQ21" s="35">
        <f t="shared" si="1"/>
        <v>1.8519819109991145</v>
      </c>
      <c r="AR21" s="35">
        <f t="shared" si="1"/>
        <v>0.66296941525773045</v>
      </c>
      <c r="AS21" s="35">
        <f t="shared" si="1"/>
        <v>0.65965470856442576</v>
      </c>
      <c r="AT21" s="35">
        <f t="shared" si="1"/>
        <v>0.81926927004600547</v>
      </c>
      <c r="AU21" s="35">
        <f t="shared" si="1"/>
        <v>0.76365660052719964</v>
      </c>
    </row>
    <row r="22" spans="1:47" x14ac:dyDescent="0.2">
      <c r="A22" s="34"/>
      <c r="B22" s="18">
        <v>3</v>
      </c>
      <c r="C22" s="18">
        <v>3</v>
      </c>
      <c r="D22" s="18">
        <v>4935.7</v>
      </c>
      <c r="E22" s="18" t="s">
        <v>120</v>
      </c>
      <c r="F22" s="18" t="s">
        <v>121</v>
      </c>
      <c r="G22" s="18"/>
      <c r="H22" s="35">
        <v>23.854368209838867</v>
      </c>
      <c r="I22" s="35">
        <v>34.770843505859375</v>
      </c>
      <c r="J22" s="35">
        <v>29.758872985839844</v>
      </c>
      <c r="K22" s="35">
        <v>34.879886627197266</v>
      </c>
      <c r="L22" s="35">
        <v>34.058025360107401</v>
      </c>
      <c r="M22" s="35">
        <v>33.868049621582031</v>
      </c>
      <c r="N22" s="35">
        <v>32.349208831787109</v>
      </c>
      <c r="O22" s="35">
        <v>36.112342834472656</v>
      </c>
      <c r="P22" s="35">
        <v>33.191432952880859</v>
      </c>
      <c r="Q22" s="35">
        <v>18.379377365112305</v>
      </c>
      <c r="R22" s="18"/>
      <c r="S22" s="35">
        <f t="shared" si="2"/>
        <v>5.4749908447265625</v>
      </c>
      <c r="T22" s="35">
        <f t="shared" si="0"/>
        <v>16.39146614074707</v>
      </c>
      <c r="U22" s="35">
        <f t="shared" si="0"/>
        <v>11.379495620727539</v>
      </c>
      <c r="V22" s="35">
        <f t="shared" si="0"/>
        <v>16.500509262084961</v>
      </c>
      <c r="W22" s="35">
        <f t="shared" si="0"/>
        <v>15.678647994995096</v>
      </c>
      <c r="X22" s="35">
        <f t="shared" si="0"/>
        <v>15.488672256469727</v>
      </c>
      <c r="Y22" s="35">
        <f t="shared" si="0"/>
        <v>13.969831466674805</v>
      </c>
      <c r="Z22" s="35">
        <f t="shared" si="0"/>
        <v>17.732965469360352</v>
      </c>
      <c r="AA22" s="35">
        <f t="shared" si="0"/>
        <v>14.812055587768555</v>
      </c>
      <c r="AB22" s="18"/>
      <c r="AC22" s="35">
        <f t="shared" si="3"/>
        <v>0.49099084472656251</v>
      </c>
      <c r="AD22" s="35">
        <f t="shared" si="4"/>
        <v>5.1466140747070455E-2</v>
      </c>
      <c r="AE22" s="35">
        <f t="shared" si="5"/>
        <v>-8.2504379272460682E-2</v>
      </c>
      <c r="AF22" s="35">
        <f t="shared" si="6"/>
        <v>0.6685092620849602</v>
      </c>
      <c r="AG22" s="35">
        <f t="shared" si="7"/>
        <v>-0.8933520050049033</v>
      </c>
      <c r="AH22" s="35">
        <f t="shared" si="8"/>
        <v>0.56967225646972608</v>
      </c>
      <c r="AI22" s="35">
        <f t="shared" si="9"/>
        <v>0.22883146667480503</v>
      </c>
      <c r="AJ22" s="35">
        <f t="shared" si="10"/>
        <v>0.31696546936035119</v>
      </c>
      <c r="AK22" s="35">
        <f t="shared" si="11"/>
        <v>-0.99294441223144503</v>
      </c>
      <c r="AL22" s="18"/>
      <c r="AM22" s="35">
        <f t="shared" si="12"/>
        <v>0.71153624597781262</v>
      </c>
      <c r="AN22" s="35">
        <f t="shared" si="12"/>
        <v>0.9649551934751196</v>
      </c>
      <c r="AO22" s="35">
        <f t="shared" si="12"/>
        <v>1.0588545153156728</v>
      </c>
      <c r="AP22" s="35">
        <f t="shared" si="12"/>
        <v>0.62915645936002829</v>
      </c>
      <c r="AQ22" s="35">
        <f t="shared" si="12"/>
        <v>1.8574868599186289</v>
      </c>
      <c r="AR22" s="35">
        <f t="shared" si="12"/>
        <v>0.67376983437602378</v>
      </c>
      <c r="AS22" s="35">
        <f t="shared" si="12"/>
        <v>0.85332577644101348</v>
      </c>
      <c r="AT22" s="35">
        <f t="shared" si="12"/>
        <v>0.80275660231719592</v>
      </c>
      <c r="AU22" s="35">
        <f t="shared" si="12"/>
        <v>1.9902427571041914</v>
      </c>
    </row>
    <row r="23" spans="1:47" x14ac:dyDescent="0.2">
      <c r="A23" s="34"/>
      <c r="B23" s="18">
        <v>18</v>
      </c>
      <c r="C23" s="18">
        <v>18</v>
      </c>
      <c r="D23" s="18">
        <v>5308.4</v>
      </c>
      <c r="E23" s="18" t="s">
        <v>120</v>
      </c>
      <c r="F23" s="18" t="s">
        <v>121</v>
      </c>
      <c r="G23" s="18"/>
      <c r="H23" s="35">
        <v>22.769552230834961</v>
      </c>
      <c r="I23" s="35">
        <v>36.643230438232422</v>
      </c>
      <c r="J23" s="35">
        <v>30.153177261352539</v>
      </c>
      <c r="K23" s="35">
        <v>32.340065002441406</v>
      </c>
      <c r="L23" s="35">
        <v>35.691429138183594</v>
      </c>
      <c r="M23" s="35">
        <v>33.734298706054688</v>
      </c>
      <c r="N23" s="35">
        <v>31.757205963134766</v>
      </c>
      <c r="O23" s="35">
        <v>35.155242919921903</v>
      </c>
      <c r="P23" s="35">
        <v>33.945716857910156</v>
      </c>
      <c r="Q23" s="35">
        <v>18.389759063720703</v>
      </c>
      <c r="R23" s="18"/>
      <c r="S23" s="35">
        <f t="shared" si="2"/>
        <v>4.3797931671142578</v>
      </c>
      <c r="T23" s="35">
        <f t="shared" si="0"/>
        <v>18.253471374511719</v>
      </c>
      <c r="U23" s="35">
        <f t="shared" si="0"/>
        <v>11.763418197631836</v>
      </c>
      <c r="V23" s="35">
        <f t="shared" si="0"/>
        <v>13.950305938720703</v>
      </c>
      <c r="W23" s="35">
        <f t="shared" si="0"/>
        <v>17.301670074462891</v>
      </c>
      <c r="X23" s="35">
        <f t="shared" si="0"/>
        <v>15.344539642333984</v>
      </c>
      <c r="Y23" s="35">
        <f t="shared" si="0"/>
        <v>13.367446899414063</v>
      </c>
      <c r="Z23" s="35">
        <f t="shared" si="0"/>
        <v>16.7654838562012</v>
      </c>
      <c r="AA23" s="35">
        <f t="shared" si="0"/>
        <v>15.555957794189453</v>
      </c>
      <c r="AB23" s="18"/>
      <c r="AC23" s="35">
        <f t="shared" si="3"/>
        <v>-0.60420683288574217</v>
      </c>
      <c r="AD23" s="35">
        <f t="shared" si="4"/>
        <v>1.9134713745117189</v>
      </c>
      <c r="AE23" s="35">
        <f t="shared" si="5"/>
        <v>0.30141819763183619</v>
      </c>
      <c r="AF23" s="35">
        <f t="shared" si="6"/>
        <v>-1.8816940612792976</v>
      </c>
      <c r="AG23" s="35">
        <f t="shared" si="7"/>
        <v>0.72967007446289145</v>
      </c>
      <c r="AH23" s="35">
        <f t="shared" si="8"/>
        <v>0.42553964233398389</v>
      </c>
      <c r="AI23" s="35">
        <f t="shared" si="9"/>
        <v>-0.37355310058593716</v>
      </c>
      <c r="AJ23" s="35">
        <f t="shared" si="10"/>
        <v>-0.65051614379880007</v>
      </c>
      <c r="AK23" s="35">
        <f t="shared" si="11"/>
        <v>-0.24904220581054659</v>
      </c>
      <c r="AL23" s="18"/>
      <c r="AM23" s="35">
        <f t="shared" si="12"/>
        <v>1.5201427770093268</v>
      </c>
      <c r="AN23" s="35">
        <f t="shared" si="12"/>
        <v>0.26545305047004603</v>
      </c>
      <c r="AO23" s="35">
        <f t="shared" si="12"/>
        <v>0.81145432857981592</v>
      </c>
      <c r="AP23" s="35">
        <f t="shared" si="12"/>
        <v>3.6850752028132905</v>
      </c>
      <c r="AQ23" s="35">
        <f t="shared" si="12"/>
        <v>0.60304180587255551</v>
      </c>
      <c r="AR23" s="35">
        <f t="shared" si="12"/>
        <v>0.74456017557053999</v>
      </c>
      <c r="AS23" s="35">
        <f t="shared" si="12"/>
        <v>1.2955395877690674</v>
      </c>
      <c r="AT23" s="35">
        <f t="shared" si="12"/>
        <v>1.5697296875205613</v>
      </c>
      <c r="AU23" s="35">
        <f t="shared" si="12"/>
        <v>1.1884178715213871</v>
      </c>
    </row>
    <row r="24" spans="1:47" x14ac:dyDescent="0.2">
      <c r="A24" s="34"/>
      <c r="B24" s="18">
        <v>1</v>
      </c>
      <c r="C24" s="18">
        <v>1</v>
      </c>
      <c r="D24" s="18">
        <v>4847.91</v>
      </c>
      <c r="E24" s="18" t="s">
        <v>120</v>
      </c>
      <c r="F24" s="18" t="s">
        <v>121</v>
      </c>
      <c r="G24" s="18"/>
      <c r="H24" s="35">
        <v>23.486860275268555</v>
      </c>
      <c r="I24" s="35">
        <v>34.796192169189453</v>
      </c>
      <c r="J24" s="35">
        <v>29.802789688110352</v>
      </c>
      <c r="K24" s="35">
        <v>33.660137176513672</v>
      </c>
      <c r="L24" s="35">
        <v>34.804985046386719</v>
      </c>
      <c r="M24" s="35">
        <v>32.752017974853516</v>
      </c>
      <c r="N24" s="35">
        <v>31.756587982177734</v>
      </c>
      <c r="O24" s="35">
        <v>35.531154632568303</v>
      </c>
      <c r="P24" s="35">
        <v>34.437202453613281</v>
      </c>
      <c r="Q24" s="35">
        <v>18.552255630493164</v>
      </c>
      <c r="R24" s="18"/>
      <c r="S24" s="35">
        <f t="shared" si="2"/>
        <v>4.9346046447753906</v>
      </c>
      <c r="T24" s="35">
        <f t="shared" si="2"/>
        <v>16.243936538696289</v>
      </c>
      <c r="U24" s="35">
        <f t="shared" si="2"/>
        <v>11.250534057617188</v>
      </c>
      <c r="V24" s="35">
        <f t="shared" si="2"/>
        <v>15.107881546020508</v>
      </c>
      <c r="W24" s="35">
        <f t="shared" si="2"/>
        <v>16.252729415893555</v>
      </c>
      <c r="X24" s="35">
        <f t="shared" si="2"/>
        <v>14.199762344360352</v>
      </c>
      <c r="Y24" s="35">
        <f t="shared" si="2"/>
        <v>13.20433235168457</v>
      </c>
      <c r="Z24" s="35">
        <f t="shared" si="2"/>
        <v>16.978899002075138</v>
      </c>
      <c r="AA24" s="35">
        <f t="shared" si="2"/>
        <v>15.884946823120117</v>
      </c>
      <c r="AB24" s="18"/>
      <c r="AC24" s="35">
        <f t="shared" si="3"/>
        <v>-4.9395355224609361E-2</v>
      </c>
      <c r="AD24" s="35">
        <f t="shared" si="4"/>
        <v>-9.6063461303710795E-2</v>
      </c>
      <c r="AE24" s="35">
        <f t="shared" si="5"/>
        <v>-0.21146594238281224</v>
      </c>
      <c r="AF24" s="35">
        <f t="shared" si="6"/>
        <v>-0.72411845397949293</v>
      </c>
      <c r="AG24" s="35">
        <f t="shared" si="7"/>
        <v>-0.31927058410644449</v>
      </c>
      <c r="AH24" s="35">
        <f t="shared" si="8"/>
        <v>-0.71923765563964892</v>
      </c>
      <c r="AI24" s="35">
        <f t="shared" si="9"/>
        <v>-0.53666764831542935</v>
      </c>
      <c r="AJ24" s="35">
        <f t="shared" si="10"/>
        <v>-0.4371009979248619</v>
      </c>
      <c r="AK24" s="35">
        <f t="shared" si="11"/>
        <v>7.9946823120117472E-2</v>
      </c>
      <c r="AL24" s="18"/>
      <c r="AM24" s="35">
        <f t="shared" si="12"/>
        <v>1.0348311271248238</v>
      </c>
      <c r="AN24" s="35">
        <f t="shared" si="12"/>
        <v>1.068853006908381</v>
      </c>
      <c r="AO24" s="35">
        <f t="shared" si="12"/>
        <v>1.1578641081006253</v>
      </c>
      <c r="AP24" s="35">
        <f t="shared" si="12"/>
        <v>1.6518909545315077</v>
      </c>
      <c r="AQ24" s="35">
        <f t="shared" si="12"/>
        <v>1.247699561775734</v>
      </c>
      <c r="AR24" s="35">
        <f t="shared" si="12"/>
        <v>1.6463118657291498</v>
      </c>
      <c r="AS24" s="35">
        <f t="shared" si="12"/>
        <v>1.4506179924551934</v>
      </c>
      <c r="AT24" s="35">
        <f t="shared" si="12"/>
        <v>1.3538810561100512</v>
      </c>
      <c r="AU24" s="35">
        <f t="shared" si="12"/>
        <v>0.94609251848961817</v>
      </c>
    </row>
    <row r="25" spans="1:47" x14ac:dyDescent="0.2">
      <c r="R25" s="8" t="s">
        <v>146</v>
      </c>
      <c r="S25" s="35">
        <f>AVERAGE(S19:S24)</f>
        <v>4.9844764073689776</v>
      </c>
      <c r="T25" s="35">
        <f t="shared" ref="T25:AA25" si="13">AVERAGE(T19:T24)</f>
        <v>16.34042199452718</v>
      </c>
      <c r="U25" s="35">
        <f t="shared" si="13"/>
        <v>11.461646397908529</v>
      </c>
      <c r="V25" s="35">
        <f t="shared" si="13"/>
        <v>15.832467079162598</v>
      </c>
      <c r="W25" s="35">
        <f t="shared" si="13"/>
        <v>16.572148323059078</v>
      </c>
      <c r="X25" s="35">
        <f t="shared" si="13"/>
        <v>14.919376691182455</v>
      </c>
      <c r="Y25" s="35">
        <f t="shared" si="13"/>
        <v>13.741217931111654</v>
      </c>
      <c r="Z25" s="35">
        <f t="shared" si="13"/>
        <v>17.416146914164216</v>
      </c>
      <c r="AA25" s="35">
        <f t="shared" si="13"/>
        <v>15.804823239644369</v>
      </c>
      <c r="AC25" s="35">
        <f t="shared" si="3"/>
        <v>4.7640736897758273E-4</v>
      </c>
      <c r="AD25" s="35">
        <f t="shared" si="4"/>
        <v>4.2199452717994745E-4</v>
      </c>
      <c r="AE25" s="35">
        <f t="shared" si="5"/>
        <v>-3.5360209147050625E-4</v>
      </c>
      <c r="AF25" s="35">
        <f t="shared" si="6"/>
        <v>4.6707916259691729E-4</v>
      </c>
      <c r="AG25" s="35">
        <f t="shared" si="7"/>
        <v>1.4832305907930277E-4</v>
      </c>
      <c r="AH25" s="35">
        <f t="shared" si="8"/>
        <v>3.7669118245453603E-4</v>
      </c>
      <c r="AI25" s="35">
        <f t="shared" si="9"/>
        <v>2.1793111165457901E-4</v>
      </c>
      <c r="AJ25" s="35">
        <f t="shared" si="10"/>
        <v>1.4691416421541703E-4</v>
      </c>
      <c r="AK25" s="35">
        <f t="shared" si="11"/>
        <v>-1.7676035563063408E-4</v>
      </c>
      <c r="AM25" s="35">
        <f t="shared" si="12"/>
        <v>0.9996698340921587</v>
      </c>
      <c r="AN25" s="35">
        <f t="shared" si="12"/>
        <v>0.99970753845849047</v>
      </c>
      <c r="AO25" s="35">
        <f t="shared" si="12"/>
        <v>1.0002451283317835</v>
      </c>
      <c r="AP25" s="35">
        <f t="shared" si="12"/>
        <v>0.99967629779821421</v>
      </c>
      <c r="AQ25" s="35">
        <f t="shared" si="12"/>
        <v>0.99989719557452439</v>
      </c>
      <c r="AR25" s="35">
        <f t="shared" si="12"/>
        <v>0.99973893165321304</v>
      </c>
      <c r="AS25" s="35">
        <f t="shared" si="12"/>
        <v>0.99984895307313626</v>
      </c>
      <c r="AT25" s="35">
        <f t="shared" si="12"/>
        <v>0.99989817204610798</v>
      </c>
      <c r="AU25" s="35">
        <f t="shared" si="12"/>
        <v>1.0001225284481374</v>
      </c>
    </row>
    <row r="26" spans="1:47" ht="15.75" x14ac:dyDescent="0.25">
      <c r="A26" s="43" t="s">
        <v>147</v>
      </c>
      <c r="B26" s="43"/>
    </row>
    <row r="27" spans="1:47" ht="15.75" x14ac:dyDescent="0.25">
      <c r="A27" s="43" t="s">
        <v>131</v>
      </c>
      <c r="B27" s="43"/>
    </row>
    <row r="29" spans="1:47" ht="15.75" x14ac:dyDescent="0.25">
      <c r="A29" s="23"/>
      <c r="B29" s="23" t="s">
        <v>136</v>
      </c>
      <c r="C29" s="33" t="s">
        <v>108</v>
      </c>
      <c r="D29" s="33" t="s">
        <v>109</v>
      </c>
      <c r="E29" s="33" t="s">
        <v>110</v>
      </c>
      <c r="F29" s="33" t="s">
        <v>111</v>
      </c>
      <c r="H29" s="23" t="s">
        <v>137</v>
      </c>
      <c r="I29" s="23" t="s">
        <v>138</v>
      </c>
      <c r="J29" s="23" t="s">
        <v>121</v>
      </c>
      <c r="K29" s="23" t="s">
        <v>139</v>
      </c>
      <c r="L29" s="23" t="s">
        <v>140</v>
      </c>
      <c r="M29" s="23" t="s">
        <v>141</v>
      </c>
      <c r="N29" s="23" t="s">
        <v>142</v>
      </c>
      <c r="O29" s="23" t="s">
        <v>143</v>
      </c>
      <c r="P29" s="23" t="s">
        <v>144</v>
      </c>
      <c r="Q29" s="23" t="s">
        <v>145</v>
      </c>
      <c r="S29" s="23" t="s">
        <v>137</v>
      </c>
      <c r="T29" s="23" t="s">
        <v>138</v>
      </c>
      <c r="U29" s="23" t="s">
        <v>121</v>
      </c>
      <c r="V29" s="23" t="s">
        <v>139</v>
      </c>
      <c r="W29" s="23" t="s">
        <v>140</v>
      </c>
      <c r="X29" s="23" t="s">
        <v>141</v>
      </c>
      <c r="Y29" s="23" t="s">
        <v>142</v>
      </c>
      <c r="Z29" s="23" t="s">
        <v>143</v>
      </c>
      <c r="AA29" s="23" t="s">
        <v>144</v>
      </c>
      <c r="AC29" s="23" t="s">
        <v>137</v>
      </c>
      <c r="AD29" s="23" t="s">
        <v>138</v>
      </c>
      <c r="AE29" s="23" t="s">
        <v>121</v>
      </c>
      <c r="AF29" s="23" t="s">
        <v>139</v>
      </c>
      <c r="AG29" s="23" t="s">
        <v>140</v>
      </c>
      <c r="AH29" s="23" t="s">
        <v>141</v>
      </c>
      <c r="AI29" s="23" t="s">
        <v>142</v>
      </c>
      <c r="AJ29" s="23" t="s">
        <v>143</v>
      </c>
      <c r="AK29" s="23" t="s">
        <v>144</v>
      </c>
      <c r="AM29" s="23" t="s">
        <v>137</v>
      </c>
      <c r="AN29" s="23" t="s">
        <v>138</v>
      </c>
      <c r="AO29" s="23" t="s">
        <v>121</v>
      </c>
      <c r="AP29" s="23" t="s">
        <v>139</v>
      </c>
      <c r="AQ29" s="23" t="s">
        <v>140</v>
      </c>
      <c r="AR29" s="23" t="s">
        <v>141</v>
      </c>
      <c r="AS29" s="23" t="s">
        <v>142</v>
      </c>
      <c r="AT29" s="23" t="s">
        <v>143</v>
      </c>
      <c r="AU29" s="23" t="s">
        <v>144</v>
      </c>
    </row>
    <row r="30" spans="1:47" x14ac:dyDescent="0.2">
      <c r="A30" s="34"/>
      <c r="B30" s="18">
        <v>1</v>
      </c>
      <c r="C30" s="18">
        <v>7</v>
      </c>
      <c r="D30" s="18">
        <v>5672.93</v>
      </c>
      <c r="E30" s="18" t="s">
        <v>118</v>
      </c>
      <c r="F30" s="18" t="s">
        <v>122</v>
      </c>
      <c r="G30" s="18"/>
      <c r="H30" s="35">
        <v>20.85877799987793</v>
      </c>
      <c r="I30" s="35">
        <v>28.792678833007813</v>
      </c>
      <c r="J30" s="35">
        <v>27.738122940063477</v>
      </c>
      <c r="K30" s="35">
        <v>25.531648635864258</v>
      </c>
      <c r="L30" s="35">
        <v>27.506582260131836</v>
      </c>
      <c r="M30" s="35">
        <v>25.774028778076172</v>
      </c>
      <c r="N30" s="35">
        <v>30.705295562744102</v>
      </c>
      <c r="O30" s="35">
        <v>26.975873947143555</v>
      </c>
      <c r="P30" s="35">
        <v>32.153053283691406</v>
      </c>
      <c r="Q30" s="35">
        <v>17.219291687011719</v>
      </c>
      <c r="R30" s="18"/>
      <c r="S30" s="35">
        <f>H30-$Q30</f>
        <v>3.6394863128662109</v>
      </c>
      <c r="T30" s="35">
        <f t="shared" ref="T30:AA47" si="14">I30-$Q30</f>
        <v>11.573387145996094</v>
      </c>
      <c r="U30" s="35">
        <f t="shared" si="14"/>
        <v>10.518831253051758</v>
      </c>
      <c r="V30" s="35">
        <f t="shared" si="14"/>
        <v>8.3123569488525391</v>
      </c>
      <c r="W30" s="35">
        <f t="shared" si="14"/>
        <v>10.287290573120117</v>
      </c>
      <c r="X30" s="35">
        <f t="shared" si="14"/>
        <v>8.5547370910644531</v>
      </c>
      <c r="Y30" s="35">
        <f t="shared" si="14"/>
        <v>13.486003875732383</v>
      </c>
      <c r="Z30" s="35">
        <f t="shared" si="14"/>
        <v>9.7565822601318359</v>
      </c>
      <c r="AA30" s="35">
        <f t="shared" si="14"/>
        <v>14.933761596679688</v>
      </c>
      <c r="AB30" s="18"/>
      <c r="AC30" s="35">
        <f>S30-6.061</f>
        <v>-2.421513687133789</v>
      </c>
      <c r="AD30" s="35">
        <f>T30-15.718</f>
        <v>-4.1446128540039062</v>
      </c>
      <c r="AE30" s="35">
        <f>U30-12.183</f>
        <v>-1.664168746948242</v>
      </c>
      <c r="AF30" s="35">
        <f>V30-15.809</f>
        <v>-7.4966430511474602</v>
      </c>
      <c r="AG30" s="35">
        <f>W30-17.45</f>
        <v>-7.1627094268798821</v>
      </c>
      <c r="AH30" s="35">
        <f>X30-15.228</f>
        <v>-6.6732629089355466</v>
      </c>
      <c r="AI30" s="35">
        <f>Y30-14.859</f>
        <v>-1.3729961242676172</v>
      </c>
      <c r="AJ30" s="35">
        <f>Z30-16.662</f>
        <v>-6.9054177398681631</v>
      </c>
      <c r="AK30" s="35">
        <f>AA30-16.351</f>
        <v>-1.4172384033203116</v>
      </c>
      <c r="AL30" s="18"/>
      <c r="AM30" s="35">
        <f>(2^(-AC30))</f>
        <v>5.3573282228661059</v>
      </c>
      <c r="AN30" s="35">
        <f t="shared" ref="AN30:AU45" si="15">(2^(-AD30))</f>
        <v>17.686943539872615</v>
      </c>
      <c r="AO30" s="35">
        <f t="shared" si="15"/>
        <v>3.1693099250195202</v>
      </c>
      <c r="AP30" s="35">
        <f t="shared" si="15"/>
        <v>180.59861906260102</v>
      </c>
      <c r="AQ30" s="35">
        <f t="shared" si="15"/>
        <v>143.2815885053752</v>
      </c>
      <c r="AR30" s="35">
        <f t="shared" si="15"/>
        <v>102.05923402503109</v>
      </c>
      <c r="AS30" s="35">
        <f t="shared" si="15"/>
        <v>2.5900790395739657</v>
      </c>
      <c r="AT30" s="35">
        <f t="shared" si="15"/>
        <v>119.87755381718843</v>
      </c>
      <c r="AU30" s="35">
        <f t="shared" si="15"/>
        <v>2.6707379058001268</v>
      </c>
    </row>
    <row r="31" spans="1:47" x14ac:dyDescent="0.2">
      <c r="A31" s="34"/>
      <c r="B31" s="18">
        <v>2</v>
      </c>
      <c r="C31" s="18">
        <v>8</v>
      </c>
      <c r="D31" s="18">
        <v>5673.97</v>
      </c>
      <c r="E31" s="18" t="s">
        <v>118</v>
      </c>
      <c r="F31" s="18" t="s">
        <v>122</v>
      </c>
      <c r="G31" s="18"/>
      <c r="H31" s="35">
        <v>20.937126159668001</v>
      </c>
      <c r="I31" s="35">
        <v>28.21891975402832</v>
      </c>
      <c r="J31" s="35">
        <v>28.466255187988281</v>
      </c>
      <c r="K31" s="35">
        <v>24.717320251464798</v>
      </c>
      <c r="L31" s="35">
        <v>27.279630661010742</v>
      </c>
      <c r="M31" s="35">
        <v>25.809474945068359</v>
      </c>
      <c r="N31" s="35">
        <v>29.831626892089844</v>
      </c>
      <c r="O31" s="35">
        <v>28.80699348449707</v>
      </c>
      <c r="P31" s="35">
        <v>31.288846969604492</v>
      </c>
      <c r="Q31" s="35">
        <v>17.816631317138672</v>
      </c>
      <c r="R31" s="18"/>
      <c r="S31" s="35">
        <f t="shared" ref="S31:AA50" si="16">H31-$Q31</f>
        <v>3.1204948425293288</v>
      </c>
      <c r="T31" s="35">
        <f t="shared" si="14"/>
        <v>10.402288436889648</v>
      </c>
      <c r="U31" s="35">
        <f t="shared" si="14"/>
        <v>10.649623870849609</v>
      </c>
      <c r="V31" s="35">
        <f t="shared" si="14"/>
        <v>6.9006889343261264</v>
      </c>
      <c r="W31" s="35">
        <f t="shared" si="14"/>
        <v>9.4629993438720703</v>
      </c>
      <c r="X31" s="35">
        <f t="shared" si="14"/>
        <v>7.9928436279296875</v>
      </c>
      <c r="Y31" s="35">
        <f t="shared" si="14"/>
        <v>12.014995574951172</v>
      </c>
      <c r="Z31" s="35">
        <f t="shared" si="14"/>
        <v>10.990362167358398</v>
      </c>
      <c r="AA31" s="35">
        <f t="shared" si="14"/>
        <v>13.47221565246582</v>
      </c>
      <c r="AB31" s="18"/>
      <c r="AC31" s="35">
        <f t="shared" ref="AC31:AC51" si="17">S31-6.061</f>
        <v>-2.9405051574706711</v>
      </c>
      <c r="AD31" s="35">
        <f t="shared" ref="AD31:AD51" si="18">T31-15.718</f>
        <v>-5.3157115631103515</v>
      </c>
      <c r="AE31" s="35">
        <f t="shared" ref="AE31:AE51" si="19">U31-12.183</f>
        <v>-1.5333761291503905</v>
      </c>
      <c r="AF31" s="35">
        <f t="shared" ref="AF31:AF51" si="20">V31-15.809</f>
        <v>-8.9083110656738729</v>
      </c>
      <c r="AG31" s="35">
        <f t="shared" ref="AG31:AG51" si="21">W31-17.45</f>
        <v>-7.987000656127929</v>
      </c>
      <c r="AH31" s="35">
        <f t="shared" ref="AH31:AH51" si="22">X31-15.228</f>
        <v>-7.2351563720703123</v>
      </c>
      <c r="AI31" s="35">
        <f t="shared" ref="AI31:AI51" si="23">Y31-14.859</f>
        <v>-2.8440044250488281</v>
      </c>
      <c r="AJ31" s="35">
        <f t="shared" ref="AJ31:AJ51" si="24">Z31-16.662</f>
        <v>-5.6716378326416006</v>
      </c>
      <c r="AK31" s="35">
        <f t="shared" ref="AK31:AK51" si="25">AA31-16.351</f>
        <v>-2.8787843475341788</v>
      </c>
      <c r="AL31" s="18"/>
      <c r="AM31" s="35">
        <f t="shared" ref="AM31:AU51" si="26">(2^(-AC31))</f>
        <v>7.6768005040551355</v>
      </c>
      <c r="AN31" s="35">
        <f t="shared" si="15"/>
        <v>39.828011952942269</v>
      </c>
      <c r="AO31" s="35">
        <f t="shared" si="15"/>
        <v>2.8946243391644972</v>
      </c>
      <c r="AP31" s="35">
        <f t="shared" si="15"/>
        <v>480.47283825286644</v>
      </c>
      <c r="AQ31" s="35">
        <f t="shared" si="15"/>
        <v>253.7036835782942</v>
      </c>
      <c r="AR31" s="35">
        <f t="shared" si="15"/>
        <v>150.66039138706174</v>
      </c>
      <c r="AS31" s="35">
        <f t="shared" si="15"/>
        <v>7.1801024281871406</v>
      </c>
      <c r="AT31" s="35">
        <f t="shared" si="15"/>
        <v>50.972168743218418</v>
      </c>
      <c r="AU31" s="35">
        <f t="shared" si="15"/>
        <v>7.3553008247693308</v>
      </c>
    </row>
    <row r="32" spans="1:47" x14ac:dyDescent="0.2">
      <c r="A32" s="34"/>
      <c r="B32" s="18">
        <v>3</v>
      </c>
      <c r="C32" s="18">
        <v>1</v>
      </c>
      <c r="D32" s="18">
        <v>5727.74</v>
      </c>
      <c r="E32" s="18" t="s">
        <v>118</v>
      </c>
      <c r="F32" s="18" t="s">
        <v>122</v>
      </c>
      <c r="G32" s="18"/>
      <c r="H32" s="35">
        <v>20.746017456054688</v>
      </c>
      <c r="I32" s="35">
        <v>28.854875564575195</v>
      </c>
      <c r="J32" s="35">
        <v>27.125085830688477</v>
      </c>
      <c r="K32" s="35">
        <v>24.754549026489258</v>
      </c>
      <c r="L32" s="35">
        <v>26.506351470947266</v>
      </c>
      <c r="M32" s="35">
        <v>25.54241943359375</v>
      </c>
      <c r="N32" s="35">
        <v>28.817403793334961</v>
      </c>
      <c r="O32" s="35">
        <v>26.939016342163086</v>
      </c>
      <c r="P32" s="35">
        <v>29.928163528442383</v>
      </c>
      <c r="Q32" s="35">
        <v>17.016826629638672</v>
      </c>
      <c r="R32" s="18"/>
      <c r="S32" s="35">
        <f t="shared" si="16"/>
        <v>3.7291908264160156</v>
      </c>
      <c r="T32" s="35">
        <f t="shared" si="14"/>
        <v>11.838048934936523</v>
      </c>
      <c r="U32" s="35">
        <f t="shared" si="14"/>
        <v>10.108259201049805</v>
      </c>
      <c r="V32" s="35">
        <f t="shared" si="14"/>
        <v>7.7377223968505859</v>
      </c>
      <c r="W32" s="35">
        <f t="shared" si="14"/>
        <v>9.4895248413085938</v>
      </c>
      <c r="X32" s="35">
        <f t="shared" si="14"/>
        <v>8.5255928039550781</v>
      </c>
      <c r="Y32" s="35">
        <f t="shared" si="14"/>
        <v>11.800577163696289</v>
      </c>
      <c r="Z32" s="35">
        <f t="shared" si="14"/>
        <v>9.9221897125244141</v>
      </c>
      <c r="AA32" s="35">
        <f t="shared" si="14"/>
        <v>12.911336898803711</v>
      </c>
      <c r="AB32" s="18"/>
      <c r="AC32" s="35">
        <f t="shared" si="17"/>
        <v>-2.3318091735839843</v>
      </c>
      <c r="AD32" s="35">
        <f t="shared" si="18"/>
        <v>-3.8799510650634765</v>
      </c>
      <c r="AE32" s="35">
        <f t="shared" si="19"/>
        <v>-2.0747407989501951</v>
      </c>
      <c r="AF32" s="35">
        <f t="shared" si="20"/>
        <v>-8.0712776031494133</v>
      </c>
      <c r="AG32" s="35">
        <f t="shared" si="21"/>
        <v>-7.9604751586914055</v>
      </c>
      <c r="AH32" s="35">
        <f t="shared" si="22"/>
        <v>-6.7024071960449216</v>
      </c>
      <c r="AI32" s="35">
        <f t="shared" si="23"/>
        <v>-3.0584228363037109</v>
      </c>
      <c r="AJ32" s="35">
        <f t="shared" si="24"/>
        <v>-6.739810287475585</v>
      </c>
      <c r="AK32" s="35">
        <f t="shared" si="25"/>
        <v>-3.4396631011962882</v>
      </c>
      <c r="AL32" s="18"/>
      <c r="AM32" s="35">
        <f t="shared" si="26"/>
        <v>5.0343627508285209</v>
      </c>
      <c r="AN32" s="35">
        <f t="shared" si="15"/>
        <v>14.722503027280759</v>
      </c>
      <c r="AO32" s="35">
        <f t="shared" si="15"/>
        <v>4.2126872055809139</v>
      </c>
      <c r="AP32" s="35">
        <f t="shared" si="15"/>
        <v>268.96555259647914</v>
      </c>
      <c r="AQ32" s="35">
        <f t="shared" si="15"/>
        <v>249.08168930618598</v>
      </c>
      <c r="AR32" s="35">
        <f t="shared" si="15"/>
        <v>104.14192693779192</v>
      </c>
      <c r="AS32" s="35">
        <f t="shared" si="15"/>
        <v>8.3306140249746328</v>
      </c>
      <c r="AT32" s="35">
        <f t="shared" si="15"/>
        <v>106.87719854991521</v>
      </c>
      <c r="AU32" s="35">
        <f t="shared" si="15"/>
        <v>10.8503005565822</v>
      </c>
    </row>
    <row r="33" spans="1:47" x14ac:dyDescent="0.2">
      <c r="A33" s="34"/>
      <c r="B33" s="18">
        <v>4</v>
      </c>
      <c r="C33" s="18">
        <v>2</v>
      </c>
      <c r="D33" s="18">
        <v>5674.83</v>
      </c>
      <c r="E33" s="18" t="s">
        <v>118</v>
      </c>
      <c r="F33" s="18" t="s">
        <v>122</v>
      </c>
      <c r="G33" s="18"/>
      <c r="H33" s="35">
        <v>20.572290420532227</v>
      </c>
      <c r="I33" s="35">
        <v>28.058620452880859</v>
      </c>
      <c r="J33" s="35">
        <v>27.570564270019499</v>
      </c>
      <c r="K33" s="35">
        <v>25.176599502563477</v>
      </c>
      <c r="L33" s="35">
        <v>28.34602165222168</v>
      </c>
      <c r="M33" s="35">
        <v>25.301149368286133</v>
      </c>
      <c r="N33" s="35">
        <v>28.805812835693359</v>
      </c>
      <c r="O33" s="35">
        <v>28.733591079711914</v>
      </c>
      <c r="P33" s="35">
        <v>31.087709426879883</v>
      </c>
      <c r="Q33" s="35">
        <v>17.643219947814899</v>
      </c>
      <c r="R33" s="18"/>
      <c r="S33" s="35">
        <f t="shared" si="16"/>
        <v>2.9290704727173278</v>
      </c>
      <c r="T33" s="35">
        <f t="shared" si="14"/>
        <v>10.415400505065961</v>
      </c>
      <c r="U33" s="35">
        <f t="shared" si="14"/>
        <v>9.9273443222046005</v>
      </c>
      <c r="V33" s="35">
        <f t="shared" si="14"/>
        <v>7.5333795547485778</v>
      </c>
      <c r="W33" s="35">
        <f t="shared" si="14"/>
        <v>10.702801704406781</v>
      </c>
      <c r="X33" s="35">
        <f t="shared" si="14"/>
        <v>7.657929420471234</v>
      </c>
      <c r="Y33" s="35">
        <f t="shared" si="14"/>
        <v>11.162592887878461</v>
      </c>
      <c r="Z33" s="35">
        <f t="shared" si="14"/>
        <v>11.090371131897015</v>
      </c>
      <c r="AA33" s="35">
        <f t="shared" si="14"/>
        <v>13.444489479064984</v>
      </c>
      <c r="AB33" s="18"/>
      <c r="AC33" s="35">
        <f t="shared" si="17"/>
        <v>-3.1319295272826722</v>
      </c>
      <c r="AD33" s="35">
        <f t="shared" si="18"/>
        <v>-5.3025994949340394</v>
      </c>
      <c r="AE33" s="35">
        <f t="shared" si="19"/>
        <v>-2.2556556777953993</v>
      </c>
      <c r="AF33" s="35">
        <f t="shared" si="20"/>
        <v>-8.2756204452514215</v>
      </c>
      <c r="AG33" s="35">
        <f t="shared" si="21"/>
        <v>-6.7471982955932184</v>
      </c>
      <c r="AH33" s="35">
        <f t="shared" si="22"/>
        <v>-7.5700705795287657</v>
      </c>
      <c r="AI33" s="35">
        <f t="shared" si="23"/>
        <v>-3.6964071121215394</v>
      </c>
      <c r="AJ33" s="35">
        <f t="shared" si="24"/>
        <v>-5.5716288681029837</v>
      </c>
      <c r="AK33" s="35">
        <f t="shared" si="25"/>
        <v>-2.9065105209350151</v>
      </c>
      <c r="AL33" s="18"/>
      <c r="AM33" s="35">
        <f t="shared" si="26"/>
        <v>8.7660659166389898</v>
      </c>
      <c r="AN33" s="35">
        <f t="shared" si="15"/>
        <v>39.467671333856003</v>
      </c>
      <c r="AO33" s="35">
        <f t="shared" si="15"/>
        <v>4.775512859890866</v>
      </c>
      <c r="AP33" s="35">
        <f t="shared" si="15"/>
        <v>309.89173018605544</v>
      </c>
      <c r="AQ33" s="35">
        <f t="shared" si="15"/>
        <v>107.42591801588863</v>
      </c>
      <c r="AR33" s="35">
        <f t="shared" si="15"/>
        <v>190.02831337852595</v>
      </c>
      <c r="AS33" s="35">
        <f t="shared" si="15"/>
        <v>12.963713274357147</v>
      </c>
      <c r="AT33" s="35">
        <f t="shared" si="15"/>
        <v>47.558419570809903</v>
      </c>
      <c r="AU33" s="35">
        <f t="shared" si="15"/>
        <v>7.4980244025821552</v>
      </c>
    </row>
    <row r="34" spans="1:47" x14ac:dyDescent="0.2">
      <c r="A34" s="34"/>
      <c r="B34" s="18">
        <v>1</v>
      </c>
      <c r="C34" s="18">
        <v>1</v>
      </c>
      <c r="D34" s="18">
        <v>5560.72</v>
      </c>
      <c r="E34" s="18" t="s">
        <v>118</v>
      </c>
      <c r="F34" s="18" t="s">
        <v>122</v>
      </c>
      <c r="G34" s="18"/>
      <c r="H34" s="35">
        <v>21.761783599853516</v>
      </c>
      <c r="I34" s="35">
        <v>29.940656661987305</v>
      </c>
      <c r="J34" s="35">
        <v>28.417102813720703</v>
      </c>
      <c r="K34" s="35">
        <v>25.538234710693359</v>
      </c>
      <c r="L34" s="35">
        <v>27.565555572509766</v>
      </c>
      <c r="M34" s="35">
        <v>25.388069152831999</v>
      </c>
      <c r="N34" s="35">
        <v>31.342170715332031</v>
      </c>
      <c r="O34" s="35">
        <v>29.761693954467773</v>
      </c>
      <c r="P34" s="35">
        <v>31.604594802856401</v>
      </c>
      <c r="Q34" s="35">
        <v>17.411186218261719</v>
      </c>
      <c r="R34" s="18"/>
      <c r="S34" s="35">
        <f t="shared" si="16"/>
        <v>4.3505973815917969</v>
      </c>
      <c r="T34" s="35">
        <f t="shared" si="14"/>
        <v>12.529470443725586</v>
      </c>
      <c r="U34" s="35">
        <f t="shared" si="14"/>
        <v>11.005916595458984</v>
      </c>
      <c r="V34" s="35">
        <f t="shared" si="14"/>
        <v>8.1270484924316406</v>
      </c>
      <c r="W34" s="35">
        <f t="shared" si="14"/>
        <v>10.154369354248047</v>
      </c>
      <c r="X34" s="35">
        <f t="shared" si="14"/>
        <v>7.9768829345702805</v>
      </c>
      <c r="Y34" s="35">
        <f t="shared" si="14"/>
        <v>13.930984497070313</v>
      </c>
      <c r="Z34" s="35">
        <f t="shared" si="14"/>
        <v>12.350507736206055</v>
      </c>
      <c r="AA34" s="35">
        <f t="shared" si="14"/>
        <v>14.193408584594682</v>
      </c>
      <c r="AB34" s="18"/>
      <c r="AC34" s="35">
        <f t="shared" si="17"/>
        <v>-1.7104026184082031</v>
      </c>
      <c r="AD34" s="35">
        <f t="shared" si="18"/>
        <v>-3.188529556274414</v>
      </c>
      <c r="AE34" s="35">
        <f t="shared" si="19"/>
        <v>-1.1770834045410155</v>
      </c>
      <c r="AF34" s="35">
        <f t="shared" si="20"/>
        <v>-7.6819515075683587</v>
      </c>
      <c r="AG34" s="35">
        <f t="shared" si="21"/>
        <v>-7.2956306457519524</v>
      </c>
      <c r="AH34" s="35">
        <f t="shared" si="22"/>
        <v>-7.2511170654297192</v>
      </c>
      <c r="AI34" s="35">
        <f t="shared" si="23"/>
        <v>-0.92801550292968749</v>
      </c>
      <c r="AJ34" s="35">
        <f t="shared" si="24"/>
        <v>-4.3114922637939443</v>
      </c>
      <c r="AK34" s="35">
        <f t="shared" si="25"/>
        <v>-2.1575914154053173</v>
      </c>
      <c r="AL34" s="18"/>
      <c r="AM34" s="35">
        <f t="shared" si="26"/>
        <v>3.2725213818324259</v>
      </c>
      <c r="AN34" s="35">
        <f t="shared" si="15"/>
        <v>9.1168128249964138</v>
      </c>
      <c r="AO34" s="35">
        <f t="shared" si="15"/>
        <v>2.2611918536403288</v>
      </c>
      <c r="AP34" s="35">
        <f t="shared" si="15"/>
        <v>205.35147611586433</v>
      </c>
      <c r="AQ34" s="35">
        <f t="shared" si="15"/>
        <v>157.10993959910235</v>
      </c>
      <c r="AR34" s="35">
        <f t="shared" si="15"/>
        <v>152.33641774692083</v>
      </c>
      <c r="AS34" s="35">
        <f t="shared" si="15"/>
        <v>1.9026569981481554</v>
      </c>
      <c r="AT34" s="35">
        <f t="shared" si="15"/>
        <v>19.855850647552714</v>
      </c>
      <c r="AU34" s="35">
        <f t="shared" si="15"/>
        <v>4.4616935174337202</v>
      </c>
    </row>
    <row r="35" spans="1:47" x14ac:dyDescent="0.2">
      <c r="A35" s="34"/>
      <c r="B35" s="18">
        <v>2</v>
      </c>
      <c r="C35" s="18">
        <v>2</v>
      </c>
      <c r="D35" s="18">
        <v>5560.73</v>
      </c>
      <c r="E35" s="18" t="s">
        <v>118</v>
      </c>
      <c r="F35" s="18" t="s">
        <v>122</v>
      </c>
      <c r="G35" s="18"/>
      <c r="H35" s="35">
        <v>22.250885009765625</v>
      </c>
      <c r="I35" s="35">
        <v>27.9781990051269</v>
      </c>
      <c r="J35" s="35">
        <v>27.820590972900391</v>
      </c>
      <c r="K35" s="35">
        <v>25.244068145751953</v>
      </c>
      <c r="L35" s="35">
        <v>27.093509674072266</v>
      </c>
      <c r="M35" s="35">
        <v>25.934040069580078</v>
      </c>
      <c r="N35" s="35">
        <v>30.418159484863281</v>
      </c>
      <c r="O35" s="35">
        <v>29.754486083984375</v>
      </c>
      <c r="P35" s="35">
        <v>32.99078369140625</v>
      </c>
      <c r="Q35" s="35">
        <v>17.349008560180664</v>
      </c>
      <c r="R35" s="18"/>
      <c r="S35" s="35">
        <f t="shared" si="16"/>
        <v>4.9018764495849609</v>
      </c>
      <c r="T35" s="35">
        <f t="shared" si="14"/>
        <v>10.629190444946236</v>
      </c>
      <c r="U35" s="35">
        <f t="shared" si="14"/>
        <v>10.471582412719727</v>
      </c>
      <c r="V35" s="35">
        <f t="shared" si="14"/>
        <v>7.8950595855712891</v>
      </c>
      <c r="W35" s="35">
        <f t="shared" si="14"/>
        <v>9.7445011138916016</v>
      </c>
      <c r="X35" s="35">
        <f t="shared" si="14"/>
        <v>8.5850315093994141</v>
      </c>
      <c r="Y35" s="35">
        <f t="shared" si="14"/>
        <v>13.069150924682617</v>
      </c>
      <c r="Z35" s="35">
        <f t="shared" si="14"/>
        <v>12.405477523803711</v>
      </c>
      <c r="AA35" s="35">
        <f t="shared" si="14"/>
        <v>15.641775131225586</v>
      </c>
      <c r="AB35" s="18"/>
      <c r="AC35" s="35">
        <f t="shared" si="17"/>
        <v>-1.159123550415039</v>
      </c>
      <c r="AD35" s="35">
        <f t="shared" si="18"/>
        <v>-5.0888095550537642</v>
      </c>
      <c r="AE35" s="35">
        <f t="shared" si="19"/>
        <v>-1.7114175872802733</v>
      </c>
      <c r="AF35" s="35">
        <f t="shared" si="20"/>
        <v>-7.9139404144287102</v>
      </c>
      <c r="AG35" s="35">
        <f t="shared" si="21"/>
        <v>-7.7054988861083977</v>
      </c>
      <c r="AH35" s="35">
        <f t="shared" si="22"/>
        <v>-6.6429684906005857</v>
      </c>
      <c r="AI35" s="35">
        <f t="shared" si="23"/>
        <v>-1.7898490753173828</v>
      </c>
      <c r="AJ35" s="35">
        <f t="shared" si="24"/>
        <v>-4.2565224761962881</v>
      </c>
      <c r="AK35" s="35">
        <f t="shared" si="25"/>
        <v>-0.70922486877441315</v>
      </c>
      <c r="AL35" s="18"/>
      <c r="AM35" s="35">
        <f t="shared" si="26"/>
        <v>2.2332171654165194</v>
      </c>
      <c r="AN35" s="35">
        <f t="shared" si="15"/>
        <v>34.031752827643629</v>
      </c>
      <c r="AO35" s="35">
        <f t="shared" si="15"/>
        <v>3.2748244853253365</v>
      </c>
      <c r="AP35" s="35">
        <f t="shared" si="15"/>
        <v>241.17564498096476</v>
      </c>
      <c r="AQ35" s="35">
        <f t="shared" si="15"/>
        <v>208.73068400015066</v>
      </c>
      <c r="AR35" s="35">
        <f t="shared" si="15"/>
        <v>99.938488308228784</v>
      </c>
      <c r="AS35" s="35">
        <f t="shared" si="15"/>
        <v>3.4577871767570225</v>
      </c>
      <c r="AT35" s="35">
        <f t="shared" si="15"/>
        <v>19.113531760931426</v>
      </c>
      <c r="AU35" s="35">
        <f t="shared" si="15"/>
        <v>1.6349254683023111</v>
      </c>
    </row>
    <row r="36" spans="1:47" x14ac:dyDescent="0.2">
      <c r="A36" s="34"/>
      <c r="B36" s="18">
        <v>3</v>
      </c>
      <c r="C36" s="18">
        <v>1</v>
      </c>
      <c r="D36" s="18">
        <v>5577.2</v>
      </c>
      <c r="E36" s="18" t="s">
        <v>118</v>
      </c>
      <c r="F36" s="18" t="s">
        <v>122</v>
      </c>
      <c r="G36" s="18"/>
      <c r="H36" s="35">
        <v>21.597530364990234</v>
      </c>
      <c r="I36" s="35">
        <v>28.969276428222656</v>
      </c>
      <c r="J36" s="35">
        <v>27.728000640869141</v>
      </c>
      <c r="K36" s="35">
        <v>25.575101852416992</v>
      </c>
      <c r="L36" s="35">
        <v>27.308691024780273</v>
      </c>
      <c r="M36" s="35">
        <v>25.150218963623047</v>
      </c>
      <c r="N36" s="35">
        <v>29.808998107910156</v>
      </c>
      <c r="O36" s="35">
        <v>28.73138427734375</v>
      </c>
      <c r="P36" s="35">
        <v>32.163703918457031</v>
      </c>
      <c r="Q36" s="35">
        <v>17.357452392578125</v>
      </c>
      <c r="R36" s="18"/>
      <c r="S36" s="35">
        <f t="shared" si="16"/>
        <v>4.2400779724121094</v>
      </c>
      <c r="T36" s="35">
        <f t="shared" si="14"/>
        <v>11.611824035644531</v>
      </c>
      <c r="U36" s="35">
        <f t="shared" si="14"/>
        <v>10.370548248291016</v>
      </c>
      <c r="V36" s="35">
        <f t="shared" si="14"/>
        <v>8.2176494598388672</v>
      </c>
      <c r="W36" s="35">
        <f t="shared" si="14"/>
        <v>9.9512386322021484</v>
      </c>
      <c r="X36" s="35">
        <f t="shared" si="14"/>
        <v>7.7927665710449219</v>
      </c>
      <c r="Y36" s="35">
        <f t="shared" si="14"/>
        <v>12.451545715332031</v>
      </c>
      <c r="Z36" s="35">
        <f t="shared" si="14"/>
        <v>11.373931884765625</v>
      </c>
      <c r="AA36" s="35">
        <f t="shared" si="14"/>
        <v>14.806251525878906</v>
      </c>
      <c r="AB36" s="18"/>
      <c r="AC36" s="35">
        <f t="shared" si="17"/>
        <v>-1.8209220275878906</v>
      </c>
      <c r="AD36" s="35">
        <f t="shared" si="18"/>
        <v>-4.1061759643554687</v>
      </c>
      <c r="AE36" s="35">
        <f t="shared" si="19"/>
        <v>-1.8124517517089842</v>
      </c>
      <c r="AF36" s="35">
        <f t="shared" si="20"/>
        <v>-7.5913505401611321</v>
      </c>
      <c r="AG36" s="35">
        <f t="shared" si="21"/>
        <v>-7.4987613677978509</v>
      </c>
      <c r="AH36" s="35">
        <f t="shared" si="22"/>
        <v>-7.4352334289550779</v>
      </c>
      <c r="AI36" s="35">
        <f t="shared" si="23"/>
        <v>-2.4074542846679687</v>
      </c>
      <c r="AJ36" s="35">
        <f t="shared" si="24"/>
        <v>-5.288068115234374</v>
      </c>
      <c r="AK36" s="35">
        <f t="shared" si="25"/>
        <v>-1.5447484741210928</v>
      </c>
      <c r="AL36" s="18"/>
      <c r="AM36" s="35">
        <f t="shared" si="26"/>
        <v>3.5330692512414728</v>
      </c>
      <c r="AN36" s="35">
        <f t="shared" si="15"/>
        <v>17.221942414929902</v>
      </c>
      <c r="AO36" s="35">
        <f t="shared" si="15"/>
        <v>3.5123868534426683</v>
      </c>
      <c r="AP36" s="35">
        <f t="shared" si="15"/>
        <v>192.85203243770397</v>
      </c>
      <c r="AQ36" s="35">
        <f t="shared" si="15"/>
        <v>180.86398772998987</v>
      </c>
      <c r="AR36" s="35">
        <f t="shared" si="15"/>
        <v>173.0725876145903</v>
      </c>
      <c r="AS36" s="35">
        <f t="shared" si="15"/>
        <v>5.3053733667232459</v>
      </c>
      <c r="AT36" s="35">
        <f t="shared" si="15"/>
        <v>39.072133108972011</v>
      </c>
      <c r="AU36" s="35">
        <f t="shared" si="15"/>
        <v>2.9175319886161328</v>
      </c>
    </row>
    <row r="37" spans="1:47" x14ac:dyDescent="0.2">
      <c r="A37" s="34"/>
      <c r="B37" s="18"/>
      <c r="C37" s="18"/>
      <c r="D37" s="18"/>
      <c r="E37" s="18"/>
      <c r="F37" s="18"/>
      <c r="G37" s="1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18"/>
      <c r="S37" s="35"/>
      <c r="T37" s="35"/>
      <c r="U37" s="35"/>
      <c r="V37" s="35"/>
      <c r="W37" s="35"/>
      <c r="X37" s="35"/>
      <c r="Y37" s="35"/>
      <c r="Z37" s="35"/>
      <c r="AA37" s="35"/>
      <c r="AB37" s="18"/>
      <c r="AC37" s="35"/>
      <c r="AD37" s="35"/>
      <c r="AE37" s="35"/>
      <c r="AF37" s="35"/>
      <c r="AG37" s="35"/>
      <c r="AH37" s="35"/>
      <c r="AI37" s="35"/>
      <c r="AJ37" s="35"/>
      <c r="AK37" s="35"/>
      <c r="AL37" s="18"/>
      <c r="AM37" s="35"/>
      <c r="AN37" s="35"/>
      <c r="AO37" s="35"/>
      <c r="AP37" s="35"/>
      <c r="AQ37" s="35"/>
      <c r="AR37" s="35"/>
      <c r="AS37" s="35"/>
      <c r="AT37" s="35"/>
      <c r="AU37" s="35"/>
    </row>
    <row r="38" spans="1:47" x14ac:dyDescent="0.2">
      <c r="A38" s="34"/>
      <c r="B38" s="18">
        <v>29</v>
      </c>
      <c r="C38" s="18">
        <v>8</v>
      </c>
      <c r="D38" s="18">
        <v>5849.71</v>
      </c>
      <c r="E38" s="18" t="s">
        <v>118</v>
      </c>
      <c r="F38" s="18" t="s">
        <v>98</v>
      </c>
      <c r="G38" s="18"/>
      <c r="H38" s="35">
        <v>22.196107864379883</v>
      </c>
      <c r="I38" s="35">
        <v>30.596523666381799</v>
      </c>
      <c r="J38" s="35">
        <v>27.745336532592773</v>
      </c>
      <c r="K38" s="35">
        <v>28.7394828796387</v>
      </c>
      <c r="L38" s="35">
        <v>29.232416152954102</v>
      </c>
      <c r="M38" s="35">
        <v>27.2238464355469</v>
      </c>
      <c r="N38" s="35">
        <v>29.882747268676798</v>
      </c>
      <c r="O38" s="35">
        <v>32.413516998291016</v>
      </c>
      <c r="P38" s="35">
        <v>32.4851684570312</v>
      </c>
      <c r="Q38" s="35">
        <v>17.938029289245598</v>
      </c>
      <c r="R38" s="18"/>
      <c r="S38" s="35">
        <f t="shared" si="16"/>
        <v>4.2580785751342844</v>
      </c>
      <c r="T38" s="35">
        <f t="shared" si="14"/>
        <v>12.658494377136201</v>
      </c>
      <c r="U38" s="35">
        <f t="shared" si="14"/>
        <v>9.8073072433471751</v>
      </c>
      <c r="V38" s="35">
        <f t="shared" si="14"/>
        <v>10.801453590393102</v>
      </c>
      <c r="W38" s="35">
        <f t="shared" si="14"/>
        <v>11.294386863708503</v>
      </c>
      <c r="X38" s="35">
        <f t="shared" si="14"/>
        <v>9.2858171463013015</v>
      </c>
      <c r="Y38" s="35">
        <f t="shared" si="14"/>
        <v>11.9447179794312</v>
      </c>
      <c r="Z38" s="35">
        <f t="shared" si="14"/>
        <v>14.475487709045417</v>
      </c>
      <c r="AA38" s="35">
        <f t="shared" si="14"/>
        <v>14.547139167785602</v>
      </c>
      <c r="AB38" s="18"/>
      <c r="AC38" s="35">
        <f t="shared" si="17"/>
        <v>-1.8029214248657155</v>
      </c>
      <c r="AD38" s="35">
        <f t="shared" si="18"/>
        <v>-3.0595056228637993</v>
      </c>
      <c r="AE38" s="35">
        <f t="shared" si="19"/>
        <v>-2.3756927566528248</v>
      </c>
      <c r="AF38" s="35">
        <f t="shared" si="20"/>
        <v>-5.0075464096068973</v>
      </c>
      <c r="AG38" s="35">
        <f t="shared" si="21"/>
        <v>-6.1556131362914961</v>
      </c>
      <c r="AH38" s="35">
        <f t="shared" si="22"/>
        <v>-5.9421828536986983</v>
      </c>
      <c r="AI38" s="35">
        <f t="shared" si="23"/>
        <v>-2.9142820205688</v>
      </c>
      <c r="AJ38" s="35">
        <f t="shared" si="24"/>
        <v>-2.1865122909545818</v>
      </c>
      <c r="AK38" s="35">
        <f t="shared" si="25"/>
        <v>-1.8038608322143972</v>
      </c>
      <c r="AL38" s="18"/>
      <c r="AM38" s="35">
        <f t="shared" si="26"/>
        <v>3.4892607783453946</v>
      </c>
      <c r="AN38" s="35">
        <f t="shared" si="15"/>
        <v>8.3368687513658841</v>
      </c>
      <c r="AO38" s="35">
        <f t="shared" si="15"/>
        <v>5.1898496944453054</v>
      </c>
      <c r="AP38" s="35">
        <f t="shared" si="15"/>
        <v>32.167823261359047</v>
      </c>
      <c r="AQ38" s="35">
        <f t="shared" si="15"/>
        <v>71.289274621429925</v>
      </c>
      <c r="AR38" s="35">
        <f t="shared" si="15"/>
        <v>61.485863795828031</v>
      </c>
      <c r="AS38" s="35">
        <f t="shared" si="15"/>
        <v>7.5385236911075504</v>
      </c>
      <c r="AT38" s="35">
        <f t="shared" si="15"/>
        <v>4.5520370211605305</v>
      </c>
      <c r="AU38" s="35">
        <f t="shared" si="15"/>
        <v>3.4915335418423399</v>
      </c>
    </row>
    <row r="39" spans="1:47" x14ac:dyDescent="0.2">
      <c r="A39" s="34"/>
      <c r="B39" s="18">
        <v>25</v>
      </c>
      <c r="C39" s="18">
        <v>4</v>
      </c>
      <c r="D39" s="18">
        <v>5846.81</v>
      </c>
      <c r="E39" s="18" t="s">
        <v>118</v>
      </c>
      <c r="F39" s="18" t="s">
        <v>98</v>
      </c>
      <c r="G39" s="18"/>
      <c r="H39" s="35">
        <v>21.519252777099609</v>
      </c>
      <c r="I39" s="35">
        <v>30.085969924926758</v>
      </c>
      <c r="J39" s="35">
        <v>27.787433624267578</v>
      </c>
      <c r="K39" s="35">
        <v>28.495044708251953</v>
      </c>
      <c r="L39" s="35">
        <v>29.044662475585938</v>
      </c>
      <c r="M39" s="35">
        <v>27.7076416015625</v>
      </c>
      <c r="N39" s="35">
        <v>29.740331649780298</v>
      </c>
      <c r="O39" s="35">
        <v>32.596675872802699</v>
      </c>
      <c r="P39" s="35">
        <v>32.421890258789063</v>
      </c>
      <c r="Q39" s="35">
        <v>17.579153060913086</v>
      </c>
      <c r="R39" s="18"/>
      <c r="S39" s="35">
        <f t="shared" si="16"/>
        <v>3.9400997161865234</v>
      </c>
      <c r="T39" s="35">
        <f t="shared" si="14"/>
        <v>12.506816864013672</v>
      </c>
      <c r="U39" s="35">
        <f t="shared" si="14"/>
        <v>10.208280563354492</v>
      </c>
      <c r="V39" s="35">
        <f t="shared" si="14"/>
        <v>10.915891647338867</v>
      </c>
      <c r="W39" s="35">
        <f t="shared" si="14"/>
        <v>11.465509414672852</v>
      </c>
      <c r="X39" s="35">
        <f t="shared" si="14"/>
        <v>10.128488540649414</v>
      </c>
      <c r="Y39" s="35">
        <f t="shared" si="14"/>
        <v>12.161178588867212</v>
      </c>
      <c r="Z39" s="35">
        <f t="shared" si="14"/>
        <v>15.017522811889613</v>
      </c>
      <c r="AA39" s="35">
        <f t="shared" si="14"/>
        <v>14.842737197875977</v>
      </c>
      <c r="AB39" s="18"/>
      <c r="AC39" s="35">
        <f t="shared" si="17"/>
        <v>-2.1209002838134765</v>
      </c>
      <c r="AD39" s="35">
        <f t="shared" si="18"/>
        <v>-3.2111831359863281</v>
      </c>
      <c r="AE39" s="35">
        <f t="shared" si="19"/>
        <v>-1.9747194366455076</v>
      </c>
      <c r="AF39" s="35">
        <f t="shared" si="20"/>
        <v>-4.8931083526611321</v>
      </c>
      <c r="AG39" s="35">
        <f t="shared" si="21"/>
        <v>-5.9844905853271477</v>
      </c>
      <c r="AH39" s="35">
        <f t="shared" si="22"/>
        <v>-5.0995114593505857</v>
      </c>
      <c r="AI39" s="35">
        <f t="shared" si="23"/>
        <v>-2.6978214111327876</v>
      </c>
      <c r="AJ39" s="35">
        <f t="shared" si="24"/>
        <v>-1.6444771881103861</v>
      </c>
      <c r="AK39" s="35">
        <f t="shared" si="25"/>
        <v>-1.5082628021240225</v>
      </c>
      <c r="AL39" s="18"/>
      <c r="AM39" s="35">
        <f t="shared" si="26"/>
        <v>4.3496529137474855</v>
      </c>
      <c r="AN39" s="35">
        <f t="shared" si="15"/>
        <v>9.2610972667789131</v>
      </c>
      <c r="AO39" s="35">
        <f t="shared" si="15"/>
        <v>3.9305179453522006</v>
      </c>
      <c r="AP39" s="35">
        <f t="shared" si="15"/>
        <v>29.714770898315145</v>
      </c>
      <c r="AQ39" s="35">
        <f t="shared" si="15"/>
        <v>63.315665343125332</v>
      </c>
      <c r="AR39" s="35">
        <f t="shared" si="15"/>
        <v>34.285138838954161</v>
      </c>
      <c r="AS39" s="35">
        <f t="shared" si="15"/>
        <v>6.4882140294654791</v>
      </c>
      <c r="AT39" s="35">
        <f t="shared" si="15"/>
        <v>3.1263454246858857</v>
      </c>
      <c r="AU39" s="35">
        <f t="shared" si="15"/>
        <v>2.8446729611756907</v>
      </c>
    </row>
    <row r="40" spans="1:47" x14ac:dyDescent="0.2">
      <c r="A40" s="34"/>
      <c r="B40" s="18">
        <v>28</v>
      </c>
      <c r="C40" s="18">
        <v>7</v>
      </c>
      <c r="D40" s="18">
        <v>5846.82</v>
      </c>
      <c r="E40" s="18" t="s">
        <v>118</v>
      </c>
      <c r="F40" s="18" t="s">
        <v>98</v>
      </c>
      <c r="G40" s="18"/>
      <c r="H40" s="35">
        <v>21.304450988769531</v>
      </c>
      <c r="I40" s="35">
        <v>30.9539794921875</v>
      </c>
      <c r="J40" s="35">
        <v>28.049964904785199</v>
      </c>
      <c r="K40" s="35">
        <v>29.9627990722656</v>
      </c>
      <c r="L40" s="35">
        <v>30.384487152099599</v>
      </c>
      <c r="M40" s="35">
        <v>27.7962341308594</v>
      </c>
      <c r="N40" s="35">
        <v>31.426523208618164</v>
      </c>
      <c r="O40" s="35">
        <v>33.706554412841797</v>
      </c>
      <c r="P40" s="35">
        <v>34.280029296875</v>
      </c>
      <c r="Q40" s="35">
        <v>16.818952560424805</v>
      </c>
      <c r="R40" s="18"/>
      <c r="S40" s="35">
        <f t="shared" si="16"/>
        <v>4.4854984283447266</v>
      </c>
      <c r="T40" s="35">
        <f t="shared" si="14"/>
        <v>14.135026931762695</v>
      </c>
      <c r="U40" s="35">
        <f t="shared" si="14"/>
        <v>11.231012344360394</v>
      </c>
      <c r="V40" s="35">
        <f t="shared" si="14"/>
        <v>13.143846511840795</v>
      </c>
      <c r="W40" s="35">
        <f t="shared" si="14"/>
        <v>13.565534591674794</v>
      </c>
      <c r="X40" s="35">
        <f t="shared" si="14"/>
        <v>10.977281570434595</v>
      </c>
      <c r="Y40" s="35">
        <f t="shared" si="14"/>
        <v>14.607570648193359</v>
      </c>
      <c r="Z40" s="35">
        <f t="shared" si="14"/>
        <v>16.887601852416992</v>
      </c>
      <c r="AA40" s="35">
        <f t="shared" si="14"/>
        <v>17.461076736450195</v>
      </c>
      <c r="AB40" s="18"/>
      <c r="AC40" s="35">
        <f t="shared" si="17"/>
        <v>-1.5755015716552734</v>
      </c>
      <c r="AD40" s="35">
        <f t="shared" si="18"/>
        <v>-1.5829730682373047</v>
      </c>
      <c r="AE40" s="35">
        <f t="shared" si="19"/>
        <v>-0.95198765563960563</v>
      </c>
      <c r="AF40" s="35">
        <f t="shared" si="20"/>
        <v>-2.6651534881592038</v>
      </c>
      <c r="AG40" s="35">
        <f t="shared" si="21"/>
        <v>-3.8844654083252053</v>
      </c>
      <c r="AH40" s="35">
        <f t="shared" si="22"/>
        <v>-4.2507184295654046</v>
      </c>
      <c r="AI40" s="35">
        <f t="shared" si="23"/>
        <v>-0.25142935180664061</v>
      </c>
      <c r="AJ40" s="35">
        <f t="shared" si="24"/>
        <v>0.22560185241699315</v>
      </c>
      <c r="AK40" s="35">
        <f t="shared" si="25"/>
        <v>1.1100767364501962</v>
      </c>
      <c r="AL40" s="18"/>
      <c r="AM40" s="35">
        <f t="shared" si="26"/>
        <v>2.9803909177311798</v>
      </c>
      <c r="AN40" s="35">
        <f t="shared" si="15"/>
        <v>2.9958659424734626</v>
      </c>
      <c r="AO40" s="35">
        <f t="shared" si="15"/>
        <v>1.9345361063789368</v>
      </c>
      <c r="AP40" s="35">
        <f t="shared" si="15"/>
        <v>6.3429478824807646</v>
      </c>
      <c r="AQ40" s="35">
        <f t="shared" si="15"/>
        <v>14.768643426281002</v>
      </c>
      <c r="AR40" s="35">
        <f t="shared" si="15"/>
        <v>19.036791372448221</v>
      </c>
      <c r="AS40" s="35">
        <f t="shared" si="15"/>
        <v>1.1903859071974439</v>
      </c>
      <c r="AT40" s="35">
        <f t="shared" si="15"/>
        <v>0.85523816957319554</v>
      </c>
      <c r="AU40" s="35">
        <f t="shared" si="15"/>
        <v>0.46326938915128313</v>
      </c>
    </row>
    <row r="41" spans="1:47" x14ac:dyDescent="0.2">
      <c r="A41" s="34"/>
      <c r="B41" s="18">
        <v>26</v>
      </c>
      <c r="C41" s="18">
        <v>5</v>
      </c>
      <c r="D41" s="18">
        <v>5681.73</v>
      </c>
      <c r="E41" s="18" t="s">
        <v>118</v>
      </c>
      <c r="F41" s="18" t="s">
        <v>98</v>
      </c>
      <c r="G41" s="18"/>
      <c r="H41" s="35">
        <v>21.804115295410156</v>
      </c>
      <c r="I41" s="35">
        <v>31.114994049072266</v>
      </c>
      <c r="J41" s="35">
        <v>28.470293045043945</v>
      </c>
      <c r="K41" s="35">
        <v>29.587612152099609</v>
      </c>
      <c r="L41" s="35">
        <v>30.753322601318359</v>
      </c>
      <c r="M41" s="35">
        <v>26.769483566284201</v>
      </c>
      <c r="N41" s="35">
        <v>30.987520217895508</v>
      </c>
      <c r="O41" s="35">
        <v>33.545658111572266</v>
      </c>
      <c r="P41" s="35">
        <v>32.938196182250998</v>
      </c>
      <c r="Q41" s="35">
        <v>17.501070404052701</v>
      </c>
      <c r="R41" s="18"/>
      <c r="S41" s="35">
        <f t="shared" si="16"/>
        <v>4.3030448913574553</v>
      </c>
      <c r="T41" s="35">
        <f t="shared" si="14"/>
        <v>13.613923645019565</v>
      </c>
      <c r="U41" s="35">
        <f t="shared" si="14"/>
        <v>10.969222640991244</v>
      </c>
      <c r="V41" s="35">
        <f t="shared" si="14"/>
        <v>12.086541748046908</v>
      </c>
      <c r="W41" s="35">
        <f t="shared" si="14"/>
        <v>13.252252197265658</v>
      </c>
      <c r="X41" s="35">
        <f t="shared" si="14"/>
        <v>9.2684131622315</v>
      </c>
      <c r="Y41" s="35">
        <f t="shared" si="14"/>
        <v>13.486449813842807</v>
      </c>
      <c r="Z41" s="35">
        <f t="shared" si="14"/>
        <v>16.044587707519565</v>
      </c>
      <c r="AA41" s="35">
        <f t="shared" si="14"/>
        <v>15.437125778198297</v>
      </c>
      <c r="AB41" s="18"/>
      <c r="AC41" s="35">
        <f t="shared" si="17"/>
        <v>-1.7579551086425447</v>
      </c>
      <c r="AD41" s="35">
        <f t="shared" si="18"/>
        <v>-2.1040763549804353</v>
      </c>
      <c r="AE41" s="35">
        <f t="shared" si="19"/>
        <v>-1.2137773590087555</v>
      </c>
      <c r="AF41" s="35">
        <f t="shared" si="20"/>
        <v>-3.7224582519530909</v>
      </c>
      <c r="AG41" s="35">
        <f t="shared" si="21"/>
        <v>-4.1977478027343409</v>
      </c>
      <c r="AH41" s="35">
        <f t="shared" si="22"/>
        <v>-5.9595868377684997</v>
      </c>
      <c r="AI41" s="35">
        <f t="shared" si="23"/>
        <v>-1.3725501861571932</v>
      </c>
      <c r="AJ41" s="35">
        <f t="shared" si="24"/>
        <v>-0.61741229248043439</v>
      </c>
      <c r="AK41" s="35">
        <f t="shared" si="25"/>
        <v>-0.91387422180170219</v>
      </c>
      <c r="AL41" s="18"/>
      <c r="AM41" s="35">
        <f t="shared" si="26"/>
        <v>3.3821839067632156</v>
      </c>
      <c r="AN41" s="35">
        <f t="shared" si="15"/>
        <v>4.299224222872148</v>
      </c>
      <c r="AO41" s="35">
        <f t="shared" si="15"/>
        <v>2.3194413383015311</v>
      </c>
      <c r="AP41" s="35">
        <f t="shared" si="15"/>
        <v>13.199928885205589</v>
      </c>
      <c r="AQ41" s="35">
        <f t="shared" si="15"/>
        <v>18.350504258807472</v>
      </c>
      <c r="AR41" s="35">
        <f t="shared" si="15"/>
        <v>62.232091916540391</v>
      </c>
      <c r="AS41" s="35">
        <f t="shared" si="15"/>
        <v>2.5892785679355206</v>
      </c>
      <c r="AT41" s="35">
        <f t="shared" si="15"/>
        <v>1.5341210171717166</v>
      </c>
      <c r="AU41" s="35">
        <f t="shared" si="15"/>
        <v>1.8840982796789025</v>
      </c>
    </row>
    <row r="42" spans="1:47" x14ac:dyDescent="0.2">
      <c r="A42" s="34"/>
      <c r="B42" s="18">
        <v>27</v>
      </c>
      <c r="C42" s="18">
        <v>6</v>
      </c>
      <c r="D42" s="18">
        <v>5681.72</v>
      </c>
      <c r="E42" s="18" t="s">
        <v>118</v>
      </c>
      <c r="F42" s="18" t="s">
        <v>98</v>
      </c>
      <c r="G42" s="18"/>
      <c r="H42" s="35">
        <v>21.665796279907227</v>
      </c>
      <c r="I42" s="35">
        <v>30.266265869140625</v>
      </c>
      <c r="J42" s="35">
        <v>28.583517074584961</v>
      </c>
      <c r="K42" s="35">
        <v>29.696868896484375</v>
      </c>
      <c r="L42" s="35">
        <v>30.612249374389648</v>
      </c>
      <c r="M42" s="35">
        <v>27.945005416870117</v>
      </c>
      <c r="N42" s="35">
        <v>31.701358795166016</v>
      </c>
      <c r="O42" s="35">
        <v>32.114940643310547</v>
      </c>
      <c r="P42" s="35">
        <v>34.071617126464844</v>
      </c>
      <c r="Q42" s="35">
        <v>17.387157440185547</v>
      </c>
      <c r="R42" s="18"/>
      <c r="S42" s="35">
        <f t="shared" si="16"/>
        <v>4.2786388397216797</v>
      </c>
      <c r="T42" s="35">
        <f t="shared" si="14"/>
        <v>12.879108428955078</v>
      </c>
      <c r="U42" s="35">
        <f t="shared" si="14"/>
        <v>11.196359634399414</v>
      </c>
      <c r="V42" s="35">
        <f t="shared" si="14"/>
        <v>12.309711456298828</v>
      </c>
      <c r="W42" s="35">
        <f t="shared" si="14"/>
        <v>13.225091934204102</v>
      </c>
      <c r="X42" s="35">
        <f t="shared" si="14"/>
        <v>10.55784797668457</v>
      </c>
      <c r="Y42" s="35">
        <f t="shared" si="14"/>
        <v>14.314201354980469</v>
      </c>
      <c r="Z42" s="35">
        <f t="shared" si="14"/>
        <v>14.727783203125</v>
      </c>
      <c r="AA42" s="35">
        <f t="shared" si="14"/>
        <v>16.684459686279297</v>
      </c>
      <c r="AB42" s="18"/>
      <c r="AC42" s="35">
        <f t="shared" si="17"/>
        <v>-1.7823611602783203</v>
      </c>
      <c r="AD42" s="35">
        <f t="shared" si="18"/>
        <v>-2.8388915710449218</v>
      </c>
      <c r="AE42" s="35">
        <f t="shared" si="19"/>
        <v>-0.98664036560058577</v>
      </c>
      <c r="AF42" s="35">
        <f t="shared" si="20"/>
        <v>-3.4992885437011712</v>
      </c>
      <c r="AG42" s="35">
        <f t="shared" si="21"/>
        <v>-4.2249080657958977</v>
      </c>
      <c r="AH42" s="35">
        <f t="shared" si="22"/>
        <v>-4.6701520233154294</v>
      </c>
      <c r="AI42" s="35">
        <f t="shared" si="23"/>
        <v>-0.54479864501953124</v>
      </c>
      <c r="AJ42" s="35">
        <f t="shared" si="24"/>
        <v>-1.934216796874999</v>
      </c>
      <c r="AK42" s="35">
        <f t="shared" si="25"/>
        <v>0.33345968627929778</v>
      </c>
      <c r="AL42" s="18"/>
      <c r="AM42" s="35">
        <f t="shared" si="26"/>
        <v>3.439886968965022</v>
      </c>
      <c r="AN42" s="35">
        <f t="shared" si="15"/>
        <v>7.154701466548909</v>
      </c>
      <c r="AO42" s="35">
        <f t="shared" si="15"/>
        <v>1.9815651012591713</v>
      </c>
      <c r="AP42" s="35">
        <f t="shared" si="15"/>
        <v>11.308130587809124</v>
      </c>
      <c r="AQ42" s="35">
        <f t="shared" si="15"/>
        <v>18.69924434959303</v>
      </c>
      <c r="AR42" s="35">
        <f t="shared" si="15"/>
        <v>25.459850158619119</v>
      </c>
      <c r="AS42" s="35">
        <f t="shared" si="15"/>
        <v>1.4588167249691317</v>
      </c>
      <c r="AT42" s="35">
        <f t="shared" si="15"/>
        <v>3.8217059983305544</v>
      </c>
      <c r="AU42" s="35">
        <f t="shared" si="15"/>
        <v>0.79363101579285589</v>
      </c>
    </row>
    <row r="43" spans="1:47" x14ac:dyDescent="0.2">
      <c r="A43" s="34"/>
      <c r="B43" s="18">
        <v>30</v>
      </c>
      <c r="C43" s="18">
        <v>9</v>
      </c>
      <c r="D43" s="18">
        <v>5679.97</v>
      </c>
      <c r="E43" s="18" t="s">
        <v>118</v>
      </c>
      <c r="F43" s="18" t="s">
        <v>98</v>
      </c>
      <c r="G43" s="18"/>
      <c r="H43" s="35">
        <v>19.860349655151367</v>
      </c>
      <c r="I43" s="35">
        <v>30.477821350097656</v>
      </c>
      <c r="J43" s="35">
        <v>27.878807067871094</v>
      </c>
      <c r="K43" s="35">
        <v>28.670923233032227</v>
      </c>
      <c r="L43" s="35">
        <v>29.380853652954102</v>
      </c>
      <c r="M43" s="35">
        <v>27.744319915771484</v>
      </c>
      <c r="N43" s="35">
        <v>31.065025329589801</v>
      </c>
      <c r="O43" s="35">
        <v>31.867464065551758</v>
      </c>
      <c r="P43" s="35">
        <v>32.631118774414063</v>
      </c>
      <c r="Q43" s="35">
        <v>16.602365493774414</v>
      </c>
      <c r="R43" s="18"/>
      <c r="S43" s="35">
        <f t="shared" si="16"/>
        <v>3.2579841613769531</v>
      </c>
      <c r="T43" s="35">
        <f t="shared" si="14"/>
        <v>13.875455856323242</v>
      </c>
      <c r="U43" s="35">
        <f t="shared" si="14"/>
        <v>11.27644157409668</v>
      </c>
      <c r="V43" s="35">
        <f t="shared" si="14"/>
        <v>12.068557739257813</v>
      </c>
      <c r="W43" s="35">
        <f t="shared" si="14"/>
        <v>12.778488159179688</v>
      </c>
      <c r="X43" s="35">
        <f t="shared" si="14"/>
        <v>11.14195442199707</v>
      </c>
      <c r="Y43" s="35">
        <f t="shared" si="14"/>
        <v>14.462659835815387</v>
      </c>
      <c r="Z43" s="35">
        <f t="shared" si="14"/>
        <v>15.265098571777344</v>
      </c>
      <c r="AA43" s="35">
        <f t="shared" si="14"/>
        <v>16.028753280639648</v>
      </c>
      <c r="AB43" s="18"/>
      <c r="AC43" s="35">
        <f t="shared" si="17"/>
        <v>-2.8030158386230468</v>
      </c>
      <c r="AD43" s="35">
        <f t="shared" si="18"/>
        <v>-1.8425441436767578</v>
      </c>
      <c r="AE43" s="35">
        <f t="shared" si="19"/>
        <v>-0.90655842590332014</v>
      </c>
      <c r="AF43" s="35">
        <f t="shared" si="20"/>
        <v>-3.7404422607421868</v>
      </c>
      <c r="AG43" s="35">
        <f t="shared" si="21"/>
        <v>-4.6715118408203118</v>
      </c>
      <c r="AH43" s="35">
        <f t="shared" si="22"/>
        <v>-4.0860455780029294</v>
      </c>
      <c r="AI43" s="35">
        <f t="shared" si="23"/>
        <v>-0.39634016418461293</v>
      </c>
      <c r="AJ43" s="35">
        <f t="shared" si="24"/>
        <v>-1.3969014282226553</v>
      </c>
      <c r="AK43" s="35">
        <f t="shared" si="25"/>
        <v>-0.32224671936035065</v>
      </c>
      <c r="AL43" s="18"/>
      <c r="AM43" s="35">
        <f t="shared" si="26"/>
        <v>6.978978264436793</v>
      </c>
      <c r="AN43" s="35">
        <f t="shared" si="15"/>
        <v>3.5864192388916161</v>
      </c>
      <c r="AO43" s="35">
        <f t="shared" si="15"/>
        <v>1.8745683450171438</v>
      </c>
      <c r="AP43" s="35">
        <f t="shared" si="15"/>
        <v>13.365503301828088</v>
      </c>
      <c r="AQ43" s="35">
        <f t="shared" si="15"/>
        <v>25.483858746727183</v>
      </c>
      <c r="AR43" s="35">
        <f t="shared" si="15"/>
        <v>16.983307875871372</v>
      </c>
      <c r="AS43" s="35">
        <f t="shared" si="15"/>
        <v>1.3161648188487249</v>
      </c>
      <c r="AT43" s="35">
        <f t="shared" si="15"/>
        <v>2.6333539147250429</v>
      </c>
      <c r="AU43" s="35">
        <f t="shared" si="15"/>
        <v>1.2502760975563416</v>
      </c>
    </row>
    <row r="44" spans="1:47" x14ac:dyDescent="0.2">
      <c r="A44" s="34"/>
      <c r="B44" s="18"/>
      <c r="C44" s="18"/>
      <c r="D44" s="18"/>
      <c r="E44" s="18"/>
      <c r="F44" s="18"/>
      <c r="G44" s="18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18"/>
      <c r="S44" s="35"/>
      <c r="T44" s="35"/>
      <c r="U44" s="35"/>
      <c r="V44" s="35"/>
      <c r="W44" s="35"/>
      <c r="X44" s="35"/>
      <c r="Y44" s="35"/>
      <c r="Z44" s="35"/>
      <c r="AA44" s="35"/>
      <c r="AB44" s="18"/>
      <c r="AC44" s="35"/>
      <c r="AD44" s="35"/>
      <c r="AE44" s="35"/>
      <c r="AF44" s="35"/>
      <c r="AG44" s="35"/>
      <c r="AH44" s="35"/>
      <c r="AI44" s="35"/>
      <c r="AJ44" s="35"/>
      <c r="AK44" s="35"/>
      <c r="AL44" s="18"/>
      <c r="AM44" s="35"/>
      <c r="AN44" s="35"/>
      <c r="AO44" s="35"/>
      <c r="AP44" s="35"/>
      <c r="AQ44" s="35"/>
      <c r="AR44" s="35"/>
      <c r="AS44" s="35"/>
      <c r="AT44" s="35"/>
      <c r="AU44" s="35"/>
    </row>
    <row r="45" spans="1:47" x14ac:dyDescent="0.2">
      <c r="A45" s="34"/>
      <c r="B45" s="18">
        <v>24</v>
      </c>
      <c r="C45" s="18">
        <v>3</v>
      </c>
      <c r="D45" s="18">
        <v>5828.86</v>
      </c>
      <c r="E45" s="18" t="s">
        <v>120</v>
      </c>
      <c r="F45" s="18" t="s">
        <v>121</v>
      </c>
      <c r="G45" s="18"/>
      <c r="H45" s="35">
        <v>23.268878936767578</v>
      </c>
      <c r="I45" s="35">
        <v>32.478260040283203</v>
      </c>
      <c r="J45" s="35">
        <v>29.322513580322266</v>
      </c>
      <c r="K45" s="35">
        <v>33.0973930358887</v>
      </c>
      <c r="L45" s="35">
        <v>34.720710754394503</v>
      </c>
      <c r="M45" s="35">
        <v>31.866453170776367</v>
      </c>
      <c r="N45" s="35">
        <v>31.807197570800781</v>
      </c>
      <c r="O45" s="35">
        <v>33.591331481933594</v>
      </c>
      <c r="P45" s="35">
        <v>33.2914428710937</v>
      </c>
      <c r="Q45" s="35">
        <v>17.250141143798828</v>
      </c>
      <c r="R45" s="18"/>
      <c r="S45" s="35">
        <f t="shared" si="16"/>
        <v>6.01873779296875</v>
      </c>
      <c r="T45" s="35">
        <f t="shared" si="14"/>
        <v>15.228118896484375</v>
      </c>
      <c r="U45" s="35">
        <f t="shared" si="14"/>
        <v>12.072372436523438</v>
      </c>
      <c r="V45" s="35">
        <f t="shared" si="14"/>
        <v>15.847251892089872</v>
      </c>
      <c r="W45" s="35">
        <f t="shared" si="14"/>
        <v>17.470569610595675</v>
      </c>
      <c r="X45" s="35">
        <f t="shared" si="14"/>
        <v>14.616312026977539</v>
      </c>
      <c r="Y45" s="35">
        <f t="shared" si="14"/>
        <v>14.557056427001953</v>
      </c>
      <c r="Z45" s="35">
        <f t="shared" si="14"/>
        <v>16.341190338134766</v>
      </c>
      <c r="AA45" s="35">
        <f t="shared" si="14"/>
        <v>16.041301727294872</v>
      </c>
      <c r="AB45" s="18"/>
      <c r="AC45" s="35">
        <f t="shared" si="17"/>
        <v>-4.2262207031249943E-2</v>
      </c>
      <c r="AD45" s="35">
        <f t="shared" si="18"/>
        <v>-0.48988110351562497</v>
      </c>
      <c r="AE45" s="35">
        <f t="shared" si="19"/>
        <v>-0.11062756347656233</v>
      </c>
      <c r="AF45" s="35">
        <f t="shared" si="20"/>
        <v>3.8251892089872896E-2</v>
      </c>
      <c r="AG45" s="35">
        <f t="shared" si="21"/>
        <v>2.0569610595675414E-2</v>
      </c>
      <c r="AH45" s="35">
        <f t="shared" si="22"/>
        <v>-0.6116879730224607</v>
      </c>
      <c r="AI45" s="35">
        <f t="shared" si="23"/>
        <v>-0.30194357299804686</v>
      </c>
      <c r="AJ45" s="35">
        <f t="shared" si="24"/>
        <v>-0.32080966186523341</v>
      </c>
      <c r="AK45" s="35">
        <f t="shared" si="25"/>
        <v>-0.30969827270512695</v>
      </c>
      <c r="AL45" s="18"/>
      <c r="AM45" s="35">
        <f t="shared" si="26"/>
        <v>1.0297272173565173</v>
      </c>
      <c r="AN45" s="35">
        <f t="shared" si="15"/>
        <v>1.4043291363246824</v>
      </c>
      <c r="AO45" s="35">
        <f t="shared" si="15"/>
        <v>1.0796977962752063</v>
      </c>
      <c r="AP45" s="35">
        <f t="shared" si="15"/>
        <v>0.97383422390683272</v>
      </c>
      <c r="AQ45" s="35">
        <f t="shared" si="15"/>
        <v>0.98584339303314072</v>
      </c>
      <c r="AR45" s="35">
        <f t="shared" si="15"/>
        <v>1.5280459982881509</v>
      </c>
      <c r="AS45" s="35">
        <f t="shared" si="15"/>
        <v>1.2328041068187157</v>
      </c>
      <c r="AT45" s="35">
        <f t="shared" si="15"/>
        <v>1.2490313271549334</v>
      </c>
      <c r="AU45" s="35">
        <f t="shared" si="15"/>
        <v>1.239448452816202</v>
      </c>
    </row>
    <row r="46" spans="1:47" x14ac:dyDescent="0.2">
      <c r="A46" s="34"/>
      <c r="B46" s="18">
        <v>22</v>
      </c>
      <c r="C46" s="18">
        <v>1</v>
      </c>
      <c r="D46" s="18">
        <v>5838.81</v>
      </c>
      <c r="E46" s="18" t="s">
        <v>120</v>
      </c>
      <c r="F46" s="18" t="s">
        <v>121</v>
      </c>
      <c r="G46" s="18"/>
      <c r="H46" s="35">
        <v>22.50172996521</v>
      </c>
      <c r="I46" s="35">
        <v>32.950046539306641</v>
      </c>
      <c r="J46" s="35">
        <v>28.922250747680664</v>
      </c>
      <c r="K46" s="35">
        <v>33.689113616943359</v>
      </c>
      <c r="L46" s="35">
        <v>34.450027465820313</v>
      </c>
      <c r="M46" s="35">
        <v>32.457637786865234</v>
      </c>
      <c r="N46" s="35">
        <v>31.436023712158203</v>
      </c>
      <c r="O46" s="35">
        <v>33.825416564941406</v>
      </c>
      <c r="P46" s="35">
        <v>34.539710998535199</v>
      </c>
      <c r="Q46" s="35">
        <v>17.287918090820313</v>
      </c>
      <c r="R46" s="18"/>
      <c r="S46" s="35">
        <f t="shared" si="16"/>
        <v>5.2138118743896875</v>
      </c>
      <c r="T46" s="35">
        <f t="shared" si="14"/>
        <v>15.662128448486328</v>
      </c>
      <c r="U46" s="35">
        <f t="shared" si="14"/>
        <v>11.634332656860352</v>
      </c>
      <c r="V46" s="35">
        <f t="shared" si="14"/>
        <v>16.401195526123047</v>
      </c>
      <c r="W46" s="35">
        <f t="shared" si="14"/>
        <v>17.162109375</v>
      </c>
      <c r="X46" s="35">
        <f t="shared" si="14"/>
        <v>15.169719696044922</v>
      </c>
      <c r="Y46" s="35">
        <f t="shared" si="14"/>
        <v>14.148105621337891</v>
      </c>
      <c r="Z46" s="35">
        <f t="shared" si="14"/>
        <v>16.537498474121094</v>
      </c>
      <c r="AA46" s="35">
        <f t="shared" si="14"/>
        <v>17.251792907714886</v>
      </c>
      <c r="AB46" s="18"/>
      <c r="AC46" s="35">
        <f t="shared" si="17"/>
        <v>-0.84718812561031243</v>
      </c>
      <c r="AD46" s="35">
        <f t="shared" si="18"/>
        <v>-5.5871551513671847E-2</v>
      </c>
      <c r="AE46" s="35">
        <f t="shared" si="19"/>
        <v>-0.54866734313964827</v>
      </c>
      <c r="AF46" s="35">
        <f t="shared" si="20"/>
        <v>0.5921955261230476</v>
      </c>
      <c r="AG46" s="35">
        <f t="shared" si="21"/>
        <v>-0.28789062499999929</v>
      </c>
      <c r="AH46" s="35">
        <f t="shared" si="22"/>
        <v>-5.8280303955077883E-2</v>
      </c>
      <c r="AI46" s="35">
        <f t="shared" si="23"/>
        <v>-0.71089437866210936</v>
      </c>
      <c r="AJ46" s="35">
        <f t="shared" si="24"/>
        <v>-0.12450152587890528</v>
      </c>
      <c r="AK46" s="35">
        <f t="shared" si="25"/>
        <v>0.90079290771488729</v>
      </c>
      <c r="AL46" s="18"/>
      <c r="AM46" s="35">
        <f t="shared" si="26"/>
        <v>1.7989911951799067</v>
      </c>
      <c r="AN46" s="35">
        <f t="shared" si="26"/>
        <v>1.0394868816855836</v>
      </c>
      <c r="AO46" s="35">
        <f t="shared" si="26"/>
        <v>1.462733904391794</v>
      </c>
      <c r="AP46" s="35">
        <f t="shared" si="26"/>
        <v>0.66333266380434341</v>
      </c>
      <c r="AQ46" s="35">
        <f t="shared" si="26"/>
        <v>1.22085395259296</v>
      </c>
      <c r="AR46" s="35">
        <f t="shared" si="26"/>
        <v>1.0412238793944835</v>
      </c>
      <c r="AS46" s="35">
        <f t="shared" si="26"/>
        <v>1.6368185254568801</v>
      </c>
      <c r="AT46" s="35">
        <f t="shared" si="26"/>
        <v>1.0901310099556649</v>
      </c>
      <c r="AU46" s="35">
        <f t="shared" si="26"/>
        <v>0.53559228790514268</v>
      </c>
    </row>
    <row r="47" spans="1:47" x14ac:dyDescent="0.2">
      <c r="A47" s="34"/>
      <c r="B47" s="18">
        <v>23</v>
      </c>
      <c r="C47" s="18">
        <v>2</v>
      </c>
      <c r="D47" s="18">
        <v>5838.83</v>
      </c>
      <c r="E47" s="18" t="s">
        <v>120</v>
      </c>
      <c r="F47" s="18" t="s">
        <v>121</v>
      </c>
      <c r="G47" s="18"/>
      <c r="H47" s="35">
        <v>23.372295379638672</v>
      </c>
      <c r="I47" s="35">
        <v>32.601043701171875</v>
      </c>
      <c r="J47" s="35">
        <v>29.184759140014648</v>
      </c>
      <c r="K47" s="35">
        <v>32.941055297851563</v>
      </c>
      <c r="L47" s="35">
        <v>34.325641632080078</v>
      </c>
      <c r="M47" s="35">
        <v>31.928525924682599</v>
      </c>
      <c r="N47" s="35">
        <v>32.514972686767578</v>
      </c>
      <c r="O47" s="35">
        <v>32.342861175537109</v>
      </c>
      <c r="P47" s="35">
        <v>32.548027038574219</v>
      </c>
      <c r="Q47" s="35">
        <v>16.661960601806641</v>
      </c>
      <c r="R47" s="18"/>
      <c r="S47" s="35">
        <f t="shared" si="16"/>
        <v>6.7103347778320313</v>
      </c>
      <c r="T47" s="35">
        <f t="shared" si="14"/>
        <v>15.939083099365234</v>
      </c>
      <c r="U47" s="35">
        <f t="shared" si="14"/>
        <v>12.522798538208008</v>
      </c>
      <c r="V47" s="35">
        <f t="shared" si="14"/>
        <v>16.279094696044922</v>
      </c>
      <c r="W47" s="35">
        <f t="shared" si="14"/>
        <v>17.663681030273438</v>
      </c>
      <c r="X47" s="35">
        <f t="shared" si="14"/>
        <v>15.266565322875959</v>
      </c>
      <c r="Y47" s="35">
        <f t="shared" si="14"/>
        <v>15.853012084960938</v>
      </c>
      <c r="Z47" s="35">
        <f t="shared" si="14"/>
        <v>15.680900573730469</v>
      </c>
      <c r="AA47" s="35">
        <f t="shared" si="14"/>
        <v>15.886066436767578</v>
      </c>
      <c r="AB47" s="18"/>
      <c r="AC47" s="35">
        <f t="shared" si="17"/>
        <v>0.64933477783203131</v>
      </c>
      <c r="AD47" s="35">
        <f t="shared" si="18"/>
        <v>0.2210830993652344</v>
      </c>
      <c r="AE47" s="35">
        <f t="shared" si="19"/>
        <v>0.33979853820800798</v>
      </c>
      <c r="AF47" s="35">
        <f t="shared" si="20"/>
        <v>0.4700946960449226</v>
      </c>
      <c r="AG47" s="35">
        <f t="shared" si="21"/>
        <v>0.21368103027343821</v>
      </c>
      <c r="AH47" s="35">
        <f t="shared" si="22"/>
        <v>3.8565322875959041E-2</v>
      </c>
      <c r="AI47" s="35">
        <f t="shared" si="23"/>
        <v>0.99401208496093751</v>
      </c>
      <c r="AJ47" s="35">
        <f t="shared" si="24"/>
        <v>-0.98109942626953028</v>
      </c>
      <c r="AK47" s="35">
        <f t="shared" si="25"/>
        <v>-0.46493356323242097</v>
      </c>
      <c r="AL47" s="18"/>
      <c r="AM47" s="35">
        <f t="shared" si="26"/>
        <v>0.63757422937428332</v>
      </c>
      <c r="AN47" s="35">
        <f t="shared" si="26"/>
        <v>0.85792111267155169</v>
      </c>
      <c r="AO47" s="35">
        <f t="shared" si="26"/>
        <v>0.79015164304732444</v>
      </c>
      <c r="AP47" s="35">
        <f t="shared" si="26"/>
        <v>0.72191721079009996</v>
      </c>
      <c r="AQ47" s="35">
        <f t="shared" si="26"/>
        <v>0.8623341799648887</v>
      </c>
      <c r="AR47" s="35">
        <f t="shared" si="26"/>
        <v>0.97362267783234002</v>
      </c>
      <c r="AS47" s="35">
        <f t="shared" si="26"/>
        <v>0.5020795658537619</v>
      </c>
      <c r="AT47" s="35">
        <f t="shared" si="26"/>
        <v>1.9739691271901867</v>
      </c>
      <c r="AU47" s="35">
        <f t="shared" si="26"/>
        <v>1.3802537906136954</v>
      </c>
    </row>
    <row r="48" spans="1:47" x14ac:dyDescent="0.2">
      <c r="A48" s="34"/>
      <c r="B48" s="18">
        <v>31</v>
      </c>
      <c r="C48" s="18">
        <v>10</v>
      </c>
      <c r="D48" s="18">
        <v>5698.86</v>
      </c>
      <c r="E48" s="18" t="s">
        <v>120</v>
      </c>
      <c r="F48" s="18" t="s">
        <v>121</v>
      </c>
      <c r="G48" s="18"/>
      <c r="H48" s="35">
        <v>22.985485076904297</v>
      </c>
      <c r="I48" s="35">
        <v>32.844402313232422</v>
      </c>
      <c r="J48" s="35">
        <v>29.273077011108398</v>
      </c>
      <c r="K48" s="35">
        <v>32.339092254638672</v>
      </c>
      <c r="L48" s="35">
        <v>34.223945617675781</v>
      </c>
      <c r="M48" s="35">
        <v>32.357311248779297</v>
      </c>
      <c r="N48" s="35">
        <v>32.551837921142578</v>
      </c>
      <c r="O48" s="35">
        <v>33.342803955078097</v>
      </c>
      <c r="P48" s="35">
        <v>34.108139038085938</v>
      </c>
      <c r="Q48" s="35">
        <v>16.583965301513672</v>
      </c>
      <c r="R48" s="18"/>
      <c r="S48" s="35">
        <f t="shared" si="16"/>
        <v>6.401519775390625</v>
      </c>
      <c r="T48" s="35">
        <f t="shared" si="16"/>
        <v>16.26043701171875</v>
      </c>
      <c r="U48" s="35">
        <f t="shared" si="16"/>
        <v>12.689111709594727</v>
      </c>
      <c r="V48" s="35">
        <f t="shared" si="16"/>
        <v>15.755126953125</v>
      </c>
      <c r="W48" s="35">
        <f t="shared" si="16"/>
        <v>17.639980316162109</v>
      </c>
      <c r="X48" s="35">
        <f t="shared" si="16"/>
        <v>15.773345947265625</v>
      </c>
      <c r="Y48" s="35">
        <f t="shared" si="16"/>
        <v>15.967872619628906</v>
      </c>
      <c r="Z48" s="35">
        <f t="shared" si="16"/>
        <v>16.758838653564425</v>
      </c>
      <c r="AA48" s="35">
        <f t="shared" si="16"/>
        <v>17.524173736572266</v>
      </c>
      <c r="AB48" s="18"/>
      <c r="AC48" s="35">
        <f t="shared" si="17"/>
        <v>0.34051977539062506</v>
      </c>
      <c r="AD48" s="35">
        <f t="shared" si="18"/>
        <v>0.54243701171875003</v>
      </c>
      <c r="AE48" s="35">
        <f t="shared" si="19"/>
        <v>0.50611170959472673</v>
      </c>
      <c r="AF48" s="35">
        <f t="shared" si="20"/>
        <v>-5.3873046874999275E-2</v>
      </c>
      <c r="AG48" s="35">
        <f t="shared" si="21"/>
        <v>0.18998031616211009</v>
      </c>
      <c r="AH48" s="35">
        <f t="shared" si="22"/>
        <v>0.54534594726562524</v>
      </c>
      <c r="AI48" s="35">
        <f t="shared" si="23"/>
        <v>1.1088726196289063</v>
      </c>
      <c r="AJ48" s="35">
        <f t="shared" si="24"/>
        <v>9.683865356442567E-2</v>
      </c>
      <c r="AK48" s="35">
        <f t="shared" si="25"/>
        <v>1.1731737365722665</v>
      </c>
      <c r="AL48" s="18"/>
      <c r="AM48" s="35">
        <f t="shared" si="26"/>
        <v>0.78975672637916838</v>
      </c>
      <c r="AN48" s="35">
        <f t="shared" si="26"/>
        <v>0.68661010178277604</v>
      </c>
      <c r="AO48" s="35">
        <f t="shared" si="26"/>
        <v>0.70411759068179847</v>
      </c>
      <c r="AP48" s="35">
        <f t="shared" si="26"/>
        <v>1.0380479212126583</v>
      </c>
      <c r="AQ48" s="35">
        <f t="shared" si="26"/>
        <v>0.87661768162790621</v>
      </c>
      <c r="AR48" s="35">
        <f t="shared" si="26"/>
        <v>0.68522707056340248</v>
      </c>
      <c r="AS48" s="35">
        <f t="shared" si="26"/>
        <v>0.46365620916819433</v>
      </c>
      <c r="AT48" s="35">
        <f t="shared" si="26"/>
        <v>0.935079768258121</v>
      </c>
      <c r="AU48" s="35">
        <f t="shared" si="26"/>
        <v>0.44344474752001489</v>
      </c>
    </row>
    <row r="49" spans="1:47" x14ac:dyDescent="0.2">
      <c r="A49" s="34"/>
      <c r="B49" s="18">
        <v>32</v>
      </c>
      <c r="C49" s="18">
        <v>11</v>
      </c>
      <c r="D49" s="18">
        <v>5698.82</v>
      </c>
      <c r="E49" s="18" t="s">
        <v>120</v>
      </c>
      <c r="F49" s="18" t="s">
        <v>121</v>
      </c>
      <c r="G49" s="18"/>
      <c r="H49" s="35">
        <v>23.026657104492188</v>
      </c>
      <c r="I49" s="35">
        <v>32.405246734619141</v>
      </c>
      <c r="J49" s="35">
        <v>28.75731086730957</v>
      </c>
      <c r="K49" s="35">
        <v>31.809274673461914</v>
      </c>
      <c r="L49" s="35">
        <v>33.954849243164063</v>
      </c>
      <c r="M49" s="35">
        <v>32.097633361816406</v>
      </c>
      <c r="N49" s="35">
        <v>31.375038146972656</v>
      </c>
      <c r="O49" s="35">
        <v>32.986034393310547</v>
      </c>
      <c r="P49" s="35">
        <v>32.670650482177734</v>
      </c>
      <c r="Q49" s="35">
        <v>16.873821258544922</v>
      </c>
      <c r="R49" s="18"/>
      <c r="S49" s="35">
        <f t="shared" si="16"/>
        <v>6.1528358459472656</v>
      </c>
      <c r="T49" s="35">
        <f t="shared" si="16"/>
        <v>15.531425476074219</v>
      </c>
      <c r="U49" s="35">
        <f t="shared" si="16"/>
        <v>11.883489608764648</v>
      </c>
      <c r="V49" s="35">
        <f t="shared" si="16"/>
        <v>14.935453414916992</v>
      </c>
      <c r="W49" s="35">
        <f t="shared" si="16"/>
        <v>17.081027984619141</v>
      </c>
      <c r="X49" s="35">
        <f t="shared" si="16"/>
        <v>15.223812103271484</v>
      </c>
      <c r="Y49" s="35">
        <f t="shared" si="16"/>
        <v>14.501216888427734</v>
      </c>
      <c r="Z49" s="35">
        <f t="shared" si="16"/>
        <v>16.112213134765625</v>
      </c>
      <c r="AA49" s="35">
        <f t="shared" si="16"/>
        <v>15.796829223632813</v>
      </c>
      <c r="AB49" s="18"/>
      <c r="AC49" s="35">
        <f t="shared" si="17"/>
        <v>9.1835845947265682E-2</v>
      </c>
      <c r="AD49" s="35">
        <f t="shared" si="18"/>
        <v>-0.18657452392578122</v>
      </c>
      <c r="AE49" s="35">
        <f t="shared" si="19"/>
        <v>-0.29951039123535139</v>
      </c>
      <c r="AF49" s="35">
        <f t="shared" si="20"/>
        <v>-0.87354658508300709</v>
      </c>
      <c r="AG49" s="35">
        <f t="shared" si="21"/>
        <v>-0.36897201538085866</v>
      </c>
      <c r="AH49" s="35">
        <f t="shared" si="22"/>
        <v>-4.1878967285153834E-3</v>
      </c>
      <c r="AI49" s="35">
        <f t="shared" si="23"/>
        <v>-0.35778311157226561</v>
      </c>
      <c r="AJ49" s="35">
        <f t="shared" si="24"/>
        <v>-0.54978686523437403</v>
      </c>
      <c r="AK49" s="35">
        <f t="shared" si="25"/>
        <v>-0.55417077636718659</v>
      </c>
      <c r="AL49" s="18"/>
      <c r="AM49" s="35">
        <f t="shared" si="26"/>
        <v>0.93832795612051267</v>
      </c>
      <c r="AN49" s="35">
        <f t="shared" si="26"/>
        <v>1.138058346208676</v>
      </c>
      <c r="AO49" s="35">
        <f t="shared" si="26"/>
        <v>1.2307266696035448</v>
      </c>
      <c r="AP49" s="35">
        <f t="shared" si="26"/>
        <v>1.8321613811837949</v>
      </c>
      <c r="AQ49" s="35">
        <f t="shared" si="26"/>
        <v>1.2914322995531868</v>
      </c>
      <c r="AR49" s="35">
        <f t="shared" si="26"/>
        <v>1.0029070460970966</v>
      </c>
      <c r="AS49" s="35">
        <f t="shared" si="26"/>
        <v>1.2814552613301355</v>
      </c>
      <c r="AT49" s="35">
        <f t="shared" si="26"/>
        <v>1.463869417034301</v>
      </c>
      <c r="AU49" s="35">
        <f t="shared" si="26"/>
        <v>1.4683244359468803</v>
      </c>
    </row>
    <row r="50" spans="1:47" x14ac:dyDescent="0.2">
      <c r="A50" s="34"/>
      <c r="B50" s="18">
        <v>33</v>
      </c>
      <c r="C50" s="18">
        <v>12</v>
      </c>
      <c r="D50" s="18">
        <v>5698.71</v>
      </c>
      <c r="E50" s="18" t="s">
        <v>120</v>
      </c>
      <c r="F50" s="18" t="s">
        <v>121</v>
      </c>
      <c r="G50" s="18"/>
      <c r="H50" s="35">
        <v>22.740695953369141</v>
      </c>
      <c r="I50" s="35">
        <v>32.5614624023437</v>
      </c>
      <c r="J50" s="35">
        <v>29.166782379150391</v>
      </c>
      <c r="K50" s="35">
        <v>32.506881713867188</v>
      </c>
      <c r="L50" s="35">
        <v>34.556694030761719</v>
      </c>
      <c r="M50" s="35">
        <v>32.193271636962898</v>
      </c>
      <c r="N50" s="35">
        <v>31.001041412353516</v>
      </c>
      <c r="O50" s="35">
        <v>35.413547515869141</v>
      </c>
      <c r="P50" s="35">
        <v>32.475837707519531</v>
      </c>
      <c r="Q50" s="35">
        <v>16.872041702270508</v>
      </c>
      <c r="R50" s="18"/>
      <c r="S50" s="35">
        <f t="shared" si="16"/>
        <v>5.8686542510986328</v>
      </c>
      <c r="T50" s="35">
        <f t="shared" si="16"/>
        <v>15.689420700073192</v>
      </c>
      <c r="U50" s="35">
        <f t="shared" si="16"/>
        <v>12.294740676879883</v>
      </c>
      <c r="V50" s="35">
        <f t="shared" si="16"/>
        <v>15.63484001159668</v>
      </c>
      <c r="W50" s="35">
        <f t="shared" si="16"/>
        <v>17.684652328491211</v>
      </c>
      <c r="X50" s="35">
        <f t="shared" si="16"/>
        <v>15.32122993469239</v>
      </c>
      <c r="Y50" s="35">
        <f t="shared" si="16"/>
        <v>14.128999710083008</v>
      </c>
      <c r="Z50" s="35">
        <f t="shared" si="16"/>
        <v>18.541505813598633</v>
      </c>
      <c r="AA50" s="35">
        <f t="shared" si="16"/>
        <v>15.603796005249023</v>
      </c>
      <c r="AB50" s="18"/>
      <c r="AC50" s="35">
        <f t="shared" si="17"/>
        <v>-0.19234574890136713</v>
      </c>
      <c r="AD50" s="35">
        <f t="shared" si="18"/>
        <v>-2.8579299926807522E-2</v>
      </c>
      <c r="AE50" s="35">
        <f t="shared" si="19"/>
        <v>0.11174067687988298</v>
      </c>
      <c r="AF50" s="35">
        <f t="shared" si="20"/>
        <v>-0.17415998840331959</v>
      </c>
      <c r="AG50" s="35">
        <f t="shared" si="21"/>
        <v>0.23465232849121165</v>
      </c>
      <c r="AH50" s="35">
        <f t="shared" si="22"/>
        <v>9.322993469239016E-2</v>
      </c>
      <c r="AI50" s="35">
        <f t="shared" si="23"/>
        <v>-0.73000028991699217</v>
      </c>
      <c r="AJ50" s="35">
        <f t="shared" si="24"/>
        <v>1.8795058135986338</v>
      </c>
      <c r="AK50" s="35">
        <f t="shared" si="25"/>
        <v>-0.74720399475097565</v>
      </c>
      <c r="AL50" s="18"/>
      <c r="AM50" s="35">
        <f t="shared" si="26"/>
        <v>1.142620048504511</v>
      </c>
      <c r="AN50" s="35">
        <f t="shared" si="26"/>
        <v>1.0200071745731056</v>
      </c>
      <c r="AO50" s="35">
        <f t="shared" si="26"/>
        <v>0.92547076561542707</v>
      </c>
      <c r="AP50" s="35">
        <f t="shared" si="26"/>
        <v>1.1283072547281321</v>
      </c>
      <c r="AQ50" s="35">
        <f t="shared" si="26"/>
        <v>0.84988978729924303</v>
      </c>
      <c r="AR50" s="35">
        <f t="shared" si="26"/>
        <v>0.93742167961083689</v>
      </c>
      <c r="AS50" s="35">
        <f t="shared" si="26"/>
        <v>1.6586394249409773</v>
      </c>
      <c r="AT50" s="35">
        <f t="shared" si="26"/>
        <v>0.27177679517496695</v>
      </c>
      <c r="AU50" s="35">
        <f t="shared" si="26"/>
        <v>1.6785365998008326</v>
      </c>
    </row>
    <row r="51" spans="1:47" x14ac:dyDescent="0.2">
      <c r="R51" s="8" t="s">
        <v>146</v>
      </c>
      <c r="S51" s="35">
        <f>AVERAGE(S45:S50)</f>
        <v>6.0609823862711663</v>
      </c>
      <c r="T51" s="35">
        <f t="shared" ref="T51:AA51" si="27">AVERAGE(T45:T50)</f>
        <v>15.718435605367015</v>
      </c>
      <c r="U51" s="35">
        <f t="shared" si="27"/>
        <v>12.182807604471842</v>
      </c>
      <c r="V51" s="35">
        <f t="shared" si="27"/>
        <v>15.808827082316085</v>
      </c>
      <c r="W51" s="35">
        <f t="shared" si="27"/>
        <v>17.450336774190262</v>
      </c>
      <c r="X51" s="35">
        <f t="shared" si="27"/>
        <v>15.228497505187988</v>
      </c>
      <c r="Y51" s="35">
        <f t="shared" si="27"/>
        <v>14.859377225240072</v>
      </c>
      <c r="Z51" s="35">
        <f t="shared" si="27"/>
        <v>16.662024497985836</v>
      </c>
      <c r="AA51" s="35">
        <f t="shared" si="27"/>
        <v>16.350660006205242</v>
      </c>
      <c r="AC51" s="35">
        <f t="shared" si="17"/>
        <v>-1.7613728833687503E-5</v>
      </c>
      <c r="AD51" s="35">
        <f t="shared" si="18"/>
        <v>4.3560536701470198E-4</v>
      </c>
      <c r="AE51" s="35">
        <f t="shared" si="19"/>
        <v>-1.9239552815797367E-4</v>
      </c>
      <c r="AF51" s="35">
        <f t="shared" si="20"/>
        <v>-1.7291768391380913E-4</v>
      </c>
      <c r="AG51" s="35">
        <f t="shared" si="21"/>
        <v>3.3677419026290067E-4</v>
      </c>
      <c r="AH51" s="35">
        <f t="shared" si="22"/>
        <v>4.9750518798852283E-4</v>
      </c>
      <c r="AI51" s="35">
        <f t="shared" si="23"/>
        <v>3.7722524007222091E-4</v>
      </c>
      <c r="AJ51" s="35">
        <f t="shared" si="24"/>
        <v>2.4497985837257374E-5</v>
      </c>
      <c r="AK51" s="35">
        <f t="shared" si="25"/>
        <v>-3.3999379475702085E-4</v>
      </c>
      <c r="AM51" s="35">
        <f t="shared" si="26"/>
        <v>1.0000122089810093</v>
      </c>
      <c r="AN51" s="35">
        <f t="shared" si="26"/>
        <v>0.9996981069468982</v>
      </c>
      <c r="AO51" s="35">
        <f t="shared" si="26"/>
        <v>1.0001333673105242</v>
      </c>
      <c r="AP51" s="35">
        <f t="shared" si="26"/>
        <v>1.0001198645882596</v>
      </c>
      <c r="AQ51" s="35">
        <f t="shared" si="26"/>
        <v>0.99976659316314898</v>
      </c>
      <c r="AR51" s="35">
        <f t="shared" si="26"/>
        <v>0.99965521513359978</v>
      </c>
      <c r="AS51" s="35">
        <f t="shared" si="26"/>
        <v>0.999738561569392</v>
      </c>
      <c r="AT51" s="35">
        <f t="shared" si="26"/>
        <v>0.99998301943435886</v>
      </c>
      <c r="AU51" s="35">
        <f t="shared" si="26"/>
        <v>1.0002356935115959</v>
      </c>
    </row>
    <row r="53" spans="1:47" ht="15.75" x14ac:dyDescent="0.25">
      <c r="A53" s="43" t="s">
        <v>127</v>
      </c>
      <c r="B53" s="43"/>
      <c r="C53" s="43"/>
    </row>
    <row r="54" spans="1:47" ht="15.75" x14ac:dyDescent="0.25">
      <c r="A54" s="43" t="s">
        <v>128</v>
      </c>
      <c r="B54" s="43"/>
      <c r="C54" s="43"/>
      <c r="D54" s="43"/>
    </row>
    <row r="55" spans="1:47" ht="15.75" x14ac:dyDescent="0.25">
      <c r="B55" s="10" t="s">
        <v>0</v>
      </c>
      <c r="C55" s="10" t="s">
        <v>6</v>
      </c>
      <c r="D55" s="10" t="s">
        <v>7</v>
      </c>
      <c r="E55" s="10" t="s">
        <v>129</v>
      </c>
      <c r="F55" s="10" t="s">
        <v>130</v>
      </c>
    </row>
    <row r="56" spans="1:47" x14ac:dyDescent="0.2">
      <c r="B56" s="14">
        <v>42354</v>
      </c>
      <c r="C56" s="14">
        <v>40804.5</v>
      </c>
      <c r="D56" s="14">
        <v>141951</v>
      </c>
      <c r="E56" s="14">
        <v>127734</v>
      </c>
      <c r="F56" s="14">
        <v>212988</v>
      </c>
    </row>
    <row r="57" spans="1:47" x14ac:dyDescent="0.2">
      <c r="B57" s="14">
        <v>33717</v>
      </c>
      <c r="C57" s="14">
        <v>41286.300000000003</v>
      </c>
      <c r="D57" s="14">
        <v>234297</v>
      </c>
      <c r="E57" s="14">
        <v>85791</v>
      </c>
      <c r="F57" s="14">
        <v>461394</v>
      </c>
    </row>
    <row r="58" spans="1:47" x14ac:dyDescent="0.2">
      <c r="B58" s="14">
        <v>14796</v>
      </c>
      <c r="C58" s="14">
        <v>48972</v>
      </c>
      <c r="D58" s="14">
        <v>91767</v>
      </c>
      <c r="E58" s="14">
        <v>232310.1</v>
      </c>
      <c r="F58" s="14">
        <v>232894.3</v>
      </c>
    </row>
    <row r="59" spans="1:47" x14ac:dyDescent="0.2">
      <c r="B59" s="14">
        <v>10380</v>
      </c>
      <c r="C59" s="14"/>
      <c r="D59" s="14">
        <v>61812</v>
      </c>
      <c r="E59" s="14">
        <v>163541.4</v>
      </c>
      <c r="F59" s="14">
        <v>238705.7</v>
      </c>
    </row>
    <row r="60" spans="1:47" x14ac:dyDescent="0.2">
      <c r="B60" s="14"/>
      <c r="C60" s="14"/>
      <c r="D60" s="14">
        <v>221564.6</v>
      </c>
      <c r="E60" s="14">
        <v>207916.5</v>
      </c>
      <c r="F60" s="14"/>
    </row>
    <row r="61" spans="1:47" x14ac:dyDescent="0.2">
      <c r="B61" s="14"/>
      <c r="C61" s="14"/>
      <c r="D61" s="14">
        <v>198259.7</v>
      </c>
      <c r="E61" s="14">
        <v>194485.5</v>
      </c>
      <c r="F61" s="14"/>
    </row>
    <row r="62" spans="1:47" x14ac:dyDescent="0.2">
      <c r="B62" s="14"/>
      <c r="C62" s="14"/>
      <c r="D62" s="14">
        <v>129455.7</v>
      </c>
      <c r="E62" s="14">
        <v>299016.3</v>
      </c>
      <c r="F62" s="14"/>
    </row>
    <row r="63" spans="1:47" x14ac:dyDescent="0.2">
      <c r="B63" s="14"/>
      <c r="C63" s="14"/>
      <c r="D63" s="14">
        <v>103771.8</v>
      </c>
      <c r="E63" s="14">
        <v>327158.7</v>
      </c>
      <c r="F63" s="14"/>
    </row>
    <row r="64" spans="1:47" x14ac:dyDescent="0.2">
      <c r="B64" s="14"/>
      <c r="C64" s="14"/>
      <c r="D64" s="14">
        <v>105675.9</v>
      </c>
      <c r="E64" s="14"/>
      <c r="F64" s="14"/>
    </row>
    <row r="65" spans="1:6" x14ac:dyDescent="0.2">
      <c r="B65" s="18"/>
      <c r="C65" s="18"/>
      <c r="D65" s="18"/>
      <c r="E65" s="18"/>
      <c r="F65" s="18"/>
    </row>
    <row r="66" spans="1:6" ht="15.75" x14ac:dyDescent="0.25">
      <c r="A66" s="18" t="s">
        <v>178</v>
      </c>
      <c r="B66" s="41">
        <f>AVERAGE(B56:B64)</f>
        <v>25311.75</v>
      </c>
      <c r="C66" s="41">
        <f>AVERAGE(C56:C64)</f>
        <v>43687.6</v>
      </c>
      <c r="D66" s="41">
        <f>AVERAGE(D56:D64)</f>
        <v>143172.74444444443</v>
      </c>
      <c r="E66" s="41">
        <f>AVERAGE(E56:E64)</f>
        <v>204744.1875</v>
      </c>
      <c r="F66" s="41">
        <f>AVERAGE(F56:F64)</f>
        <v>286495.5</v>
      </c>
    </row>
  </sheetData>
  <mergeCells count="6">
    <mergeCell ref="A53:C53"/>
    <mergeCell ref="A54:D54"/>
    <mergeCell ref="A2:B2"/>
    <mergeCell ref="A3:B3"/>
    <mergeCell ref="A26:B26"/>
    <mergeCell ref="A27:B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4780A-4C42-43E3-8E2C-9EED5E640870}">
  <dimension ref="A1:F17"/>
  <sheetViews>
    <sheetView workbookViewId="0">
      <selection activeCell="G14" sqref="G14"/>
    </sheetView>
  </sheetViews>
  <sheetFormatPr defaultRowHeight="15" x14ac:dyDescent="0.2"/>
  <cols>
    <col min="1" max="1" width="16" style="8" customWidth="1"/>
    <col min="2" max="2" width="10.140625" style="8" customWidth="1"/>
    <col min="3" max="3" width="10.7109375" style="8" customWidth="1"/>
    <col min="4" max="4" width="10.85546875" style="8" customWidth="1"/>
    <col min="5" max="5" width="10" style="8" customWidth="1"/>
    <col min="6" max="6" width="9.85546875" style="8" customWidth="1"/>
    <col min="7" max="16384" width="9.140625" style="8"/>
  </cols>
  <sheetData>
    <row r="1" spans="1:6" ht="15.75" x14ac:dyDescent="0.25">
      <c r="A1" s="7" t="s">
        <v>103</v>
      </c>
      <c r="B1" s="7"/>
    </row>
    <row r="3" spans="1:6" ht="15.75" x14ac:dyDescent="0.25">
      <c r="A3" s="9" t="s">
        <v>105</v>
      </c>
    </row>
    <row r="4" spans="1:6" ht="15.75" x14ac:dyDescent="0.25">
      <c r="A4" s="7" t="s">
        <v>179</v>
      </c>
    </row>
    <row r="5" spans="1:6" ht="15.75" x14ac:dyDescent="0.25">
      <c r="B5" s="10" t="s">
        <v>106</v>
      </c>
      <c r="C5" s="10" t="s">
        <v>6</v>
      </c>
      <c r="D5" s="10" t="s">
        <v>7</v>
      </c>
      <c r="E5" s="10" t="s">
        <v>3</v>
      </c>
      <c r="F5" s="10" t="s">
        <v>4</v>
      </c>
    </row>
    <row r="6" spans="1:6" x14ac:dyDescent="0.2">
      <c r="B6" s="11">
        <v>18.091999999999999</v>
      </c>
      <c r="C6" s="11">
        <v>0</v>
      </c>
      <c r="D6" s="11">
        <v>50.558999999999997</v>
      </c>
      <c r="E6" s="11">
        <v>162.7115</v>
      </c>
      <c r="F6" s="11">
        <v>388.99099999999999</v>
      </c>
    </row>
    <row r="8" spans="1:6" ht="15.75" x14ac:dyDescent="0.25">
      <c r="A8" s="9" t="s">
        <v>105</v>
      </c>
    </row>
    <row r="9" spans="1:6" ht="15.75" x14ac:dyDescent="0.25">
      <c r="A9" s="7" t="s">
        <v>107</v>
      </c>
    </row>
    <row r="10" spans="1:6" ht="15.75" x14ac:dyDescent="0.25">
      <c r="B10" s="10" t="s">
        <v>106</v>
      </c>
      <c r="C10" s="10" t="s">
        <v>6</v>
      </c>
      <c r="D10" s="10" t="s">
        <v>7</v>
      </c>
      <c r="E10" s="10" t="s">
        <v>3</v>
      </c>
      <c r="F10" s="10" t="s">
        <v>4</v>
      </c>
    </row>
    <row r="11" spans="1:6" x14ac:dyDescent="0.2">
      <c r="B11" s="11">
        <v>4.508</v>
      </c>
      <c r="C11" s="11">
        <v>3.8915000000000002</v>
      </c>
      <c r="D11" s="11">
        <v>4.2045000000000003</v>
      </c>
      <c r="E11" s="11">
        <v>3.0230000000000001</v>
      </c>
      <c r="F11" s="11">
        <v>7.625</v>
      </c>
    </row>
    <row r="14" spans="1:6" ht="15.75" x14ac:dyDescent="0.25">
      <c r="A14" s="9" t="s">
        <v>105</v>
      </c>
    </row>
    <row r="15" spans="1:6" ht="15.75" x14ac:dyDescent="0.25">
      <c r="A15" s="7" t="s">
        <v>55</v>
      </c>
    </row>
    <row r="16" spans="1:6" ht="15.75" x14ac:dyDescent="0.25">
      <c r="B16" s="10" t="s">
        <v>106</v>
      </c>
      <c r="C16" s="10" t="s">
        <v>6</v>
      </c>
      <c r="D16" s="10" t="s">
        <v>7</v>
      </c>
      <c r="E16" s="10" t="s">
        <v>3</v>
      </c>
      <c r="F16" s="10" t="s">
        <v>4</v>
      </c>
    </row>
    <row r="17" spans="2:6" x14ac:dyDescent="0.2">
      <c r="B17" s="11">
        <v>50.1</v>
      </c>
      <c r="C17" s="11">
        <v>41</v>
      </c>
      <c r="D17" s="11">
        <v>36.6</v>
      </c>
      <c r="E17" s="11">
        <v>39.4</v>
      </c>
      <c r="F17" s="11">
        <v>35.5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857F-2428-4961-97B9-D085B3E85AEF}">
  <dimension ref="A1:E50"/>
  <sheetViews>
    <sheetView topLeftCell="A33" workbookViewId="0">
      <selection activeCell="K54" sqref="K54"/>
    </sheetView>
  </sheetViews>
  <sheetFormatPr defaultRowHeight="14.25" x14ac:dyDescent="0.2"/>
  <cols>
    <col min="1" max="1" width="12.7109375" style="5" customWidth="1"/>
    <col min="2" max="2" width="10.5703125" style="5" bestFit="1" customWidth="1"/>
    <col min="3" max="3" width="9.42578125" style="5" bestFit="1" customWidth="1"/>
    <col min="4" max="4" width="9.140625" style="5"/>
    <col min="5" max="5" width="11.28515625" style="5" customWidth="1"/>
    <col min="6" max="16384" width="9.140625" style="5"/>
  </cols>
  <sheetData>
    <row r="1" spans="1:4" ht="20.25" x14ac:dyDescent="0.3">
      <c r="A1" s="6" t="s">
        <v>104</v>
      </c>
      <c r="B1" s="6"/>
    </row>
    <row r="2" spans="1:4" ht="20.25" x14ac:dyDescent="0.3">
      <c r="A2" s="6"/>
      <c r="B2" s="6"/>
    </row>
    <row r="3" spans="1:4" ht="15.75" x14ac:dyDescent="0.25">
      <c r="A3" s="9" t="s">
        <v>149</v>
      </c>
      <c r="B3" s="36"/>
      <c r="C3" s="36"/>
      <c r="D3" s="8"/>
    </row>
    <row r="4" spans="1:4" ht="15" x14ac:dyDescent="0.2">
      <c r="A4" s="8"/>
      <c r="B4" s="8"/>
      <c r="C4" s="8"/>
      <c r="D4" s="8"/>
    </row>
    <row r="5" spans="1:4" ht="18.75" x14ac:dyDescent="0.35">
      <c r="A5" s="44" t="s">
        <v>180</v>
      </c>
      <c r="B5" s="44"/>
      <c r="C5" s="44"/>
      <c r="D5" s="44"/>
    </row>
    <row r="6" spans="1:4" ht="15" x14ac:dyDescent="0.2">
      <c r="A6" s="8"/>
      <c r="B6" s="8"/>
      <c r="C6" s="8"/>
      <c r="D6" s="8"/>
    </row>
    <row r="7" spans="1:4" ht="15.75" x14ac:dyDescent="0.25">
      <c r="A7" s="9" t="s">
        <v>150</v>
      </c>
      <c r="B7" s="36"/>
      <c r="C7" s="36"/>
      <c r="D7" s="36"/>
    </row>
    <row r="8" spans="1:4" ht="110.25" x14ac:dyDescent="0.25">
      <c r="A8" s="37"/>
      <c r="B8" s="33" t="s">
        <v>151</v>
      </c>
      <c r="C8" s="33" t="s">
        <v>154</v>
      </c>
      <c r="D8" s="37"/>
    </row>
    <row r="9" spans="1:4" ht="15" x14ac:dyDescent="0.2">
      <c r="A9" s="18"/>
      <c r="B9" s="38">
        <v>2.0000000000000002E-5</v>
      </c>
      <c r="C9" s="18">
        <v>0</v>
      </c>
      <c r="D9" s="18"/>
    </row>
    <row r="10" spans="1:4" ht="15" x14ac:dyDescent="0.2">
      <c r="A10" s="18"/>
      <c r="B10" s="38">
        <v>6.7000000000000002E-6</v>
      </c>
      <c r="C10" s="18">
        <v>0</v>
      </c>
      <c r="D10" s="18"/>
    </row>
    <row r="11" spans="1:4" ht="15" x14ac:dyDescent="0.2">
      <c r="A11" s="18"/>
      <c r="B11" s="38">
        <v>2.2000000000000001E-6</v>
      </c>
      <c r="C11" s="18">
        <v>0</v>
      </c>
      <c r="D11" s="18"/>
    </row>
    <row r="12" spans="1:4" ht="15" x14ac:dyDescent="0.2">
      <c r="A12" s="18"/>
      <c r="B12" s="38">
        <v>7.4000000000000001E-7</v>
      </c>
      <c r="C12" s="18">
        <v>132.155</v>
      </c>
      <c r="D12" s="18"/>
    </row>
    <row r="13" spans="1:4" ht="15" x14ac:dyDescent="0.2">
      <c r="A13" s="18"/>
      <c r="B13" s="38">
        <v>2.4999999999999999E-7</v>
      </c>
      <c r="C13" s="18">
        <v>370.73500000000001</v>
      </c>
      <c r="D13" s="18"/>
    </row>
    <row r="14" spans="1:4" ht="15" x14ac:dyDescent="0.2">
      <c r="A14" s="18"/>
      <c r="B14" s="38">
        <v>8.2000000000000006E-8</v>
      </c>
      <c r="C14" s="18">
        <v>592.84999999999991</v>
      </c>
      <c r="D14" s="18"/>
    </row>
    <row r="15" spans="1:4" ht="15" x14ac:dyDescent="0.2">
      <c r="A15" s="18"/>
      <c r="B15" s="38">
        <v>2.7E-8</v>
      </c>
      <c r="C15" s="18">
        <v>694.02500000000009</v>
      </c>
      <c r="D15" s="18"/>
    </row>
    <row r="16" spans="1:4" ht="15" x14ac:dyDescent="0.2">
      <c r="A16" s="18"/>
      <c r="B16" s="18">
        <v>0</v>
      </c>
      <c r="C16" s="18">
        <v>748.375</v>
      </c>
      <c r="D16" s="18"/>
    </row>
    <row r="17" spans="1:5" ht="15" x14ac:dyDescent="0.2">
      <c r="A17" s="8"/>
      <c r="B17" s="8"/>
      <c r="C17" s="8"/>
      <c r="D17" s="8"/>
    </row>
    <row r="18" spans="1:5" ht="15" x14ac:dyDescent="0.2">
      <c r="A18" s="8"/>
      <c r="B18" s="8"/>
      <c r="C18" s="8"/>
      <c r="D18" s="8"/>
    </row>
    <row r="19" spans="1:5" ht="15.75" x14ac:dyDescent="0.25">
      <c r="A19" s="9" t="s">
        <v>153</v>
      </c>
      <c r="B19" s="36"/>
      <c r="C19" s="36"/>
      <c r="D19" s="36"/>
    </row>
    <row r="20" spans="1:5" ht="78.75" x14ac:dyDescent="0.25">
      <c r="A20" s="37"/>
      <c r="B20" s="33" t="s">
        <v>151</v>
      </c>
      <c r="C20" s="33" t="s">
        <v>152</v>
      </c>
      <c r="D20" s="8"/>
    </row>
    <row r="21" spans="1:5" ht="15" x14ac:dyDescent="0.2">
      <c r="A21" s="18"/>
      <c r="B21" s="38">
        <v>2.0000000000000002E-5</v>
      </c>
      <c r="C21" s="18">
        <v>0</v>
      </c>
      <c r="D21" s="8"/>
    </row>
    <row r="22" spans="1:5" ht="15" x14ac:dyDescent="0.2">
      <c r="A22" s="18"/>
      <c r="B22" s="38">
        <v>6.7000000000000002E-6</v>
      </c>
      <c r="C22" s="18">
        <v>0</v>
      </c>
      <c r="D22" s="8"/>
    </row>
    <row r="23" spans="1:5" ht="15" x14ac:dyDescent="0.2">
      <c r="A23" s="18"/>
      <c r="B23" s="38">
        <v>2.2000000000000001E-6</v>
      </c>
      <c r="C23" s="18">
        <v>0</v>
      </c>
      <c r="D23" s="8"/>
    </row>
    <row r="24" spans="1:5" ht="15" x14ac:dyDescent="0.2">
      <c r="A24" s="18"/>
      <c r="B24" s="38">
        <v>7.4000000000000001E-7</v>
      </c>
      <c r="C24" s="18">
        <v>52.392000000000003</v>
      </c>
      <c r="D24" s="8"/>
    </row>
    <row r="25" spans="1:5" ht="15" x14ac:dyDescent="0.2">
      <c r="A25" s="18"/>
      <c r="B25" s="38">
        <v>2.4999999999999999E-7</v>
      </c>
      <c r="C25" s="18">
        <v>121.096</v>
      </c>
      <c r="D25" s="8"/>
    </row>
    <row r="26" spans="1:5" ht="15" x14ac:dyDescent="0.2">
      <c r="A26" s="18"/>
      <c r="B26" s="38">
        <v>8.2000000000000006E-8</v>
      </c>
      <c r="C26" s="18">
        <v>187.82400000000001</v>
      </c>
      <c r="D26" s="8"/>
    </row>
    <row r="27" spans="1:5" ht="15" x14ac:dyDescent="0.2">
      <c r="A27" s="18"/>
      <c r="B27" s="38">
        <v>2.7E-8</v>
      </c>
      <c r="C27" s="18">
        <v>238.928</v>
      </c>
      <c r="D27" s="8"/>
    </row>
    <row r="28" spans="1:5" ht="15" x14ac:dyDescent="0.2">
      <c r="A28" s="18"/>
      <c r="B28" s="18">
        <v>0</v>
      </c>
      <c r="C28" s="18">
        <v>229.422</v>
      </c>
      <c r="D28" s="8"/>
    </row>
    <row r="29" spans="1:5" ht="15" x14ac:dyDescent="0.2">
      <c r="A29" s="8"/>
      <c r="B29" s="8"/>
      <c r="C29" s="8"/>
      <c r="D29" s="8"/>
    </row>
    <row r="30" spans="1:5" ht="15.75" x14ac:dyDescent="0.25">
      <c r="A30" s="46" t="s">
        <v>182</v>
      </c>
      <c r="B30" s="46"/>
      <c r="C30" s="46"/>
      <c r="D30" s="46"/>
      <c r="E30" s="46"/>
    </row>
    <row r="31" spans="1:5" ht="15.75" x14ac:dyDescent="0.25">
      <c r="A31" s="46" t="s">
        <v>183</v>
      </c>
      <c r="B31" s="46"/>
      <c r="C31" s="46"/>
      <c r="D31" s="46"/>
      <c r="E31" s="46"/>
    </row>
    <row r="32" spans="1:5" ht="78.75" x14ac:dyDescent="0.25">
      <c r="A32" s="9"/>
      <c r="B32" s="33" t="s">
        <v>151</v>
      </c>
      <c r="C32" s="33" t="s">
        <v>152</v>
      </c>
      <c r="D32" s="8"/>
    </row>
    <row r="33" spans="1:4" ht="19.5" x14ac:dyDescent="0.35">
      <c r="A33" s="8" t="s">
        <v>181</v>
      </c>
      <c r="B33" s="11">
        <v>0</v>
      </c>
      <c r="C33" s="11">
        <v>693.49599999999998</v>
      </c>
      <c r="D33" s="8"/>
    </row>
    <row r="34" spans="1:4" ht="15" x14ac:dyDescent="0.2">
      <c r="A34" s="8"/>
      <c r="B34" s="11">
        <v>2.7E-8</v>
      </c>
      <c r="C34" s="11">
        <v>737.524</v>
      </c>
      <c r="D34" s="8"/>
    </row>
    <row r="35" spans="1:4" ht="15" x14ac:dyDescent="0.2">
      <c r="A35" s="8"/>
      <c r="B35" s="11">
        <v>8.2000000000000006E-8</v>
      </c>
      <c r="C35" s="11">
        <v>683.92399999999998</v>
      </c>
      <c r="D35" s="8"/>
    </row>
    <row r="36" spans="1:4" ht="15" x14ac:dyDescent="0.2">
      <c r="A36" s="8"/>
      <c r="B36" s="11">
        <v>2.4999999999999999E-7</v>
      </c>
      <c r="C36" s="11">
        <v>550.88400000000001</v>
      </c>
      <c r="D36" s="8"/>
    </row>
    <row r="37" spans="1:4" ht="15" x14ac:dyDescent="0.2">
      <c r="A37" s="8"/>
      <c r="B37" s="11">
        <v>7.4000000000000001E-7</v>
      </c>
      <c r="C37" s="11">
        <v>313.51600000000002</v>
      </c>
      <c r="D37" s="8"/>
    </row>
    <row r="38" spans="1:4" ht="15" x14ac:dyDescent="0.2">
      <c r="A38" s="8"/>
      <c r="B38" s="11">
        <v>2.2000000000000001E-6</v>
      </c>
      <c r="C38" s="11">
        <v>14.146000000000001</v>
      </c>
      <c r="D38" s="8"/>
    </row>
    <row r="39" spans="1:4" ht="15" x14ac:dyDescent="0.2">
      <c r="A39" s="8"/>
      <c r="B39" s="11">
        <v>6.7000000000000002E-6</v>
      </c>
      <c r="C39" s="11">
        <v>0</v>
      </c>
      <c r="D39" s="8"/>
    </row>
    <row r="40" spans="1:4" ht="15" x14ac:dyDescent="0.2">
      <c r="A40" s="8"/>
      <c r="B40" s="11">
        <v>2.0000000000000002E-5</v>
      </c>
      <c r="C40" s="11">
        <v>0</v>
      </c>
      <c r="D40" s="8"/>
    </row>
    <row r="41" spans="1:4" ht="15" x14ac:dyDescent="0.2">
      <c r="A41" s="8"/>
      <c r="B41" s="8"/>
      <c r="C41" s="8"/>
      <c r="D41" s="8"/>
    </row>
    <row r="42" spans="1:4" ht="15" x14ac:dyDescent="0.2">
      <c r="A42" s="8"/>
      <c r="B42" s="8"/>
      <c r="C42" s="8"/>
      <c r="D42" s="8"/>
    </row>
    <row r="43" spans="1:4" ht="15" x14ac:dyDescent="0.2">
      <c r="A43" s="8"/>
      <c r="B43" s="8"/>
      <c r="C43" s="8"/>
      <c r="D43" s="8"/>
    </row>
    <row r="44" spans="1:4" ht="15" x14ac:dyDescent="0.2">
      <c r="A44" s="8"/>
      <c r="B44" s="8"/>
      <c r="C44" s="8"/>
      <c r="D44" s="8"/>
    </row>
    <row r="45" spans="1:4" ht="15" x14ac:dyDescent="0.2">
      <c r="A45" s="8"/>
      <c r="B45" s="8"/>
      <c r="C45" s="8"/>
      <c r="D45" s="8"/>
    </row>
    <row r="46" spans="1:4" ht="15" x14ac:dyDescent="0.2">
      <c r="A46" s="8"/>
      <c r="B46" s="8"/>
      <c r="C46" s="8"/>
      <c r="D46" s="8"/>
    </row>
    <row r="47" spans="1:4" ht="15" x14ac:dyDescent="0.2">
      <c r="A47" s="8"/>
      <c r="B47" s="8"/>
      <c r="C47" s="8"/>
      <c r="D47" s="8"/>
    </row>
    <row r="48" spans="1:4" ht="15" x14ac:dyDescent="0.2">
      <c r="A48" s="8"/>
      <c r="B48" s="8"/>
      <c r="C48" s="8"/>
      <c r="D48" s="8"/>
    </row>
    <row r="49" spans="1:4" ht="15" x14ac:dyDescent="0.2">
      <c r="A49" s="8"/>
      <c r="B49" s="8"/>
      <c r="C49" s="8"/>
      <c r="D49" s="8"/>
    </row>
    <row r="50" spans="1:4" ht="15" x14ac:dyDescent="0.2">
      <c r="A50" s="8"/>
      <c r="B50" s="8"/>
      <c r="C50" s="8"/>
      <c r="D50" s="8"/>
    </row>
  </sheetData>
  <mergeCells count="3">
    <mergeCell ref="A5:D5"/>
    <mergeCell ref="A30:E30"/>
    <mergeCell ref="A31: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Sup Figure 1</vt:lpstr>
      <vt:lpstr>Sup Figure 2</vt:lpstr>
      <vt:lpstr>'Figure 1'!Print_Area</vt:lpstr>
      <vt:lpstr>'Figure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Koller, Beverly</dc:creator>
  <cp:lastModifiedBy>Koller, Beverly</cp:lastModifiedBy>
  <cp:lastPrinted>2026-01-13T20:41:44Z</cp:lastPrinted>
  <dcterms:created xsi:type="dcterms:W3CDTF">2026-01-09T18:38:41Z</dcterms:created>
  <dcterms:modified xsi:type="dcterms:W3CDTF">2026-01-14T15:27:15Z</dcterms:modified>
</cp:coreProperties>
</file>