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relle/Desktop/pre/duke/Manuscript_Drafts/___Letter_pan_disease_atMBCs_EBV/___submissions/JCI_Insight_1/_JCI_Insight_REVISION_VERSIONS_20241205/__20250221_REV2_FOR_ACCEPTANCE/supp_files_correct_terminology/"/>
    </mc:Choice>
  </mc:AlternateContent>
  <xr:revisionPtr revIDLastSave="0" documentId="13_ncr:1_{9170985A-7B6F-9C48-844D-13A2A4E6F9D6}" xr6:coauthVersionLast="47" xr6:coauthVersionMax="47" xr10:uidLastSave="{00000000-0000-0000-0000-000000000000}"/>
  <bookViews>
    <workbookView xWindow="2680" yWindow="1700" windowWidth="29000" windowHeight="17580" activeTab="13" xr2:uid="{26DF5E87-AD3E-C442-BFBB-61F04D98F2EF}"/>
  </bookViews>
  <sheets>
    <sheet name="1F" sheetId="1" r:id="rId1"/>
    <sheet name="5A" sheetId="2" r:id="rId2"/>
    <sheet name="5B" sheetId="3" r:id="rId3"/>
    <sheet name="5C" sheetId="4" r:id="rId4"/>
    <sheet name="5D" sheetId="5" r:id="rId5"/>
    <sheet name="5E" sheetId="6" r:id="rId6"/>
    <sheet name="5F" sheetId="7" r:id="rId7"/>
    <sheet name="5I" sheetId="8" r:id="rId8"/>
    <sheet name="5J" sheetId="9" r:id="rId9"/>
    <sheet name="S3A" sheetId="10" r:id="rId10"/>
    <sheet name="S3B" sheetId="11" r:id="rId11"/>
    <sheet name="S10" sheetId="12" r:id="rId12"/>
    <sheet name="S19B" sheetId="13" r:id="rId13"/>
    <sheet name="S19C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4" l="1"/>
  <c r="D24" i="14"/>
  <c r="C24" i="14"/>
  <c r="B24" i="14"/>
  <c r="E23" i="14"/>
  <c r="D23" i="14"/>
  <c r="C23" i="14"/>
  <c r="B23" i="14"/>
  <c r="F22" i="14"/>
  <c r="D22" i="14"/>
  <c r="B22" i="14"/>
  <c r="E18" i="14"/>
  <c r="D18" i="14"/>
  <c r="C18" i="14"/>
  <c r="B18" i="14"/>
  <c r="E17" i="14"/>
  <c r="D17" i="14"/>
  <c r="C17" i="14"/>
  <c r="B17" i="14"/>
  <c r="G16" i="14"/>
  <c r="F16" i="14"/>
  <c r="E16" i="14"/>
  <c r="D16" i="14"/>
  <c r="C16" i="14"/>
  <c r="B16" i="14"/>
  <c r="E12" i="14"/>
  <c r="D12" i="14"/>
  <c r="C12" i="14"/>
  <c r="B12" i="14"/>
  <c r="E11" i="14"/>
  <c r="D11" i="14"/>
  <c r="C11" i="14"/>
  <c r="B11" i="14"/>
  <c r="E6" i="14"/>
  <c r="D6" i="14"/>
  <c r="C6" i="14"/>
  <c r="B6" i="14"/>
  <c r="E5" i="14"/>
  <c r="D5" i="14"/>
  <c r="C5" i="14"/>
  <c r="B5" i="14"/>
  <c r="G4" i="14"/>
  <c r="F4" i="14"/>
  <c r="E4" i="14"/>
  <c r="D4" i="14"/>
  <c r="C4" i="14"/>
  <c r="B4" i="14"/>
  <c r="G10" i="14"/>
  <c r="F10" i="14"/>
  <c r="E10" i="14"/>
  <c r="D10" i="14"/>
  <c r="C10" i="14"/>
  <c r="B10" i="14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L7" i="13"/>
  <c r="K7" i="13"/>
  <c r="J7" i="13"/>
  <c r="I7" i="13"/>
  <c r="H7" i="13"/>
  <c r="G7" i="13"/>
  <c r="F7" i="13"/>
  <c r="E7" i="13"/>
  <c r="D7" i="13"/>
  <c r="C7" i="13"/>
  <c r="B7" i="13"/>
  <c r="H6" i="13"/>
  <c r="G6" i="13"/>
  <c r="F6" i="13"/>
  <c r="E6" i="13"/>
  <c r="D6" i="13"/>
  <c r="C6" i="13"/>
  <c r="B6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G4" i="13"/>
  <c r="F4" i="13"/>
  <c r="E4" i="13"/>
  <c r="D4" i="13"/>
  <c r="C4" i="13"/>
  <c r="B4" i="13"/>
  <c r="F6" i="9"/>
  <c r="E6" i="9"/>
  <c r="D6" i="9"/>
  <c r="C6" i="9"/>
  <c r="B6" i="9"/>
  <c r="F5" i="9"/>
  <c r="E5" i="9"/>
  <c r="D5" i="9"/>
  <c r="C5" i="9"/>
  <c r="B5" i="9"/>
  <c r="G4" i="9"/>
  <c r="F4" i="9"/>
  <c r="E4" i="9"/>
  <c r="D4" i="9"/>
  <c r="C4" i="9"/>
  <c r="B4" i="9"/>
  <c r="I6" i="8"/>
  <c r="H6" i="8"/>
  <c r="G6" i="8"/>
  <c r="F6" i="8"/>
  <c r="E6" i="8"/>
  <c r="D6" i="8"/>
  <c r="C6" i="8"/>
  <c r="B6" i="8"/>
  <c r="D5" i="8"/>
  <c r="C5" i="8"/>
  <c r="B5" i="8"/>
  <c r="G4" i="8"/>
  <c r="F4" i="8"/>
  <c r="E4" i="8"/>
  <c r="D4" i="8"/>
  <c r="C4" i="8"/>
  <c r="B4" i="8"/>
  <c r="K8" i="7"/>
  <c r="J8" i="7"/>
  <c r="I8" i="7"/>
  <c r="H8" i="7"/>
  <c r="P5" i="7"/>
  <c r="N5" i="7"/>
  <c r="K5" i="7"/>
  <c r="I5" i="7"/>
  <c r="I7" i="7"/>
  <c r="G7" i="7"/>
  <c r="D7" i="7"/>
  <c r="B7" i="7"/>
  <c r="E6" i="7"/>
  <c r="D6" i="7"/>
  <c r="C6" i="7"/>
  <c r="B6" i="7"/>
  <c r="E5" i="7"/>
  <c r="D5" i="7"/>
  <c r="C5" i="7"/>
  <c r="B5" i="7"/>
  <c r="S5" i="6"/>
  <c r="R5" i="6"/>
  <c r="Q5" i="6"/>
  <c r="P5" i="6"/>
  <c r="O5" i="6"/>
  <c r="N5" i="6"/>
  <c r="M5" i="6"/>
  <c r="L5" i="6"/>
  <c r="K5" i="6"/>
  <c r="J5" i="6"/>
  <c r="I5" i="6"/>
  <c r="L7" i="6"/>
  <c r="K7" i="6"/>
  <c r="J7" i="6"/>
  <c r="I7" i="6"/>
  <c r="H7" i="6"/>
  <c r="G7" i="6"/>
  <c r="F7" i="6"/>
  <c r="E7" i="6"/>
  <c r="D7" i="6"/>
  <c r="C7" i="6"/>
  <c r="B7" i="6"/>
  <c r="N8" i="3"/>
  <c r="M8" i="3"/>
  <c r="L8" i="3"/>
  <c r="K8" i="3"/>
  <c r="J8" i="3"/>
  <c r="I8" i="3"/>
  <c r="H8" i="3"/>
  <c r="N8" i="4"/>
  <c r="M8" i="4"/>
  <c r="L8" i="4"/>
  <c r="K8" i="4"/>
  <c r="J8" i="4"/>
  <c r="I8" i="4"/>
  <c r="H8" i="4"/>
  <c r="N8" i="5"/>
  <c r="M8" i="5"/>
  <c r="L8" i="5"/>
  <c r="K8" i="5"/>
  <c r="J8" i="5"/>
  <c r="I8" i="5"/>
  <c r="H8" i="5"/>
  <c r="M8" i="6"/>
  <c r="L8" i="6"/>
  <c r="K8" i="6"/>
  <c r="J8" i="6"/>
  <c r="I8" i="6"/>
  <c r="H8" i="6"/>
  <c r="G6" i="6"/>
  <c r="F6" i="6"/>
  <c r="E6" i="6"/>
  <c r="D6" i="6"/>
  <c r="C6" i="6"/>
  <c r="B6" i="6"/>
  <c r="G5" i="6"/>
  <c r="F5" i="6"/>
  <c r="E5" i="6"/>
  <c r="D5" i="6"/>
  <c r="C5" i="6"/>
  <c r="B5" i="6"/>
  <c r="G8" i="6"/>
  <c r="F8" i="6"/>
  <c r="E8" i="6"/>
  <c r="D8" i="6"/>
  <c r="C8" i="6"/>
  <c r="B8" i="6"/>
  <c r="G4" i="6"/>
  <c r="F4" i="6"/>
  <c r="E4" i="6"/>
  <c r="D4" i="6"/>
  <c r="C4" i="6"/>
  <c r="B4" i="6"/>
  <c r="S5" i="5"/>
  <c r="R5" i="5"/>
  <c r="Q5" i="5"/>
  <c r="P5" i="5"/>
  <c r="O5" i="5"/>
  <c r="N5" i="5"/>
  <c r="M5" i="5"/>
  <c r="L5" i="5"/>
  <c r="K5" i="5"/>
  <c r="J5" i="5"/>
  <c r="I5" i="5"/>
  <c r="L7" i="5"/>
  <c r="K7" i="5"/>
  <c r="J7" i="5"/>
  <c r="I7" i="5"/>
  <c r="H7" i="5"/>
  <c r="G7" i="5"/>
  <c r="F7" i="5"/>
  <c r="E7" i="5"/>
  <c r="D7" i="5"/>
  <c r="C7" i="5"/>
  <c r="B7" i="5"/>
  <c r="H6" i="5"/>
  <c r="G6" i="5"/>
  <c r="F6" i="5"/>
  <c r="E6" i="5"/>
  <c r="D6" i="5"/>
  <c r="C6" i="5"/>
  <c r="B6" i="5"/>
  <c r="H5" i="5"/>
  <c r="G5" i="5"/>
  <c r="F5" i="5"/>
  <c r="E5" i="5"/>
  <c r="D5" i="5"/>
  <c r="C5" i="5"/>
  <c r="B5" i="5"/>
  <c r="G8" i="5"/>
  <c r="F8" i="5"/>
  <c r="E8" i="5"/>
  <c r="D8" i="5"/>
  <c r="C8" i="5"/>
  <c r="B8" i="5"/>
  <c r="G4" i="5"/>
  <c r="F4" i="5"/>
  <c r="E4" i="5"/>
  <c r="D4" i="5"/>
  <c r="C4" i="5"/>
  <c r="B4" i="5"/>
  <c r="S5" i="4"/>
  <c r="R5" i="4"/>
  <c r="Q5" i="4"/>
  <c r="P5" i="4"/>
  <c r="O5" i="4"/>
  <c r="N5" i="4"/>
  <c r="M5" i="4"/>
  <c r="L5" i="4"/>
  <c r="K5" i="4"/>
  <c r="J5" i="4"/>
  <c r="I5" i="4"/>
  <c r="L7" i="4"/>
  <c r="K7" i="4"/>
  <c r="J7" i="4"/>
  <c r="I7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G8" i="4"/>
  <c r="F8" i="4"/>
  <c r="E8" i="4"/>
  <c r="D8" i="4"/>
  <c r="C8" i="4"/>
  <c r="B8" i="4"/>
  <c r="G4" i="4"/>
  <c r="F4" i="4"/>
  <c r="E4" i="4"/>
  <c r="D4" i="4"/>
  <c r="C4" i="4"/>
  <c r="B4" i="4"/>
  <c r="S5" i="3"/>
  <c r="R5" i="3"/>
  <c r="Q5" i="3"/>
  <c r="P5" i="3"/>
  <c r="O5" i="3"/>
  <c r="N5" i="3"/>
  <c r="M5" i="3"/>
  <c r="L5" i="3"/>
  <c r="K5" i="3"/>
  <c r="J5" i="3"/>
  <c r="I5" i="3"/>
  <c r="L7" i="3"/>
  <c r="K7" i="3"/>
  <c r="J7" i="3"/>
  <c r="I7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G8" i="3"/>
  <c r="F8" i="3"/>
  <c r="E8" i="3"/>
  <c r="D8" i="3"/>
  <c r="C8" i="3"/>
  <c r="B8" i="3"/>
  <c r="G4" i="3"/>
  <c r="F4" i="3"/>
  <c r="E4" i="3"/>
  <c r="D4" i="3"/>
  <c r="C4" i="3"/>
  <c r="B4" i="3"/>
  <c r="S5" i="2"/>
  <c r="R5" i="2"/>
  <c r="Q5" i="2"/>
  <c r="P5" i="2"/>
  <c r="O5" i="2"/>
  <c r="N5" i="2"/>
  <c r="M5" i="2"/>
  <c r="L5" i="2"/>
  <c r="K5" i="2"/>
  <c r="J5" i="2"/>
  <c r="I5" i="2"/>
  <c r="L7" i="2"/>
  <c r="K7" i="2"/>
  <c r="J7" i="2"/>
  <c r="I7" i="2"/>
  <c r="H7" i="2"/>
  <c r="G7" i="2"/>
  <c r="F7" i="2"/>
  <c r="E7" i="2"/>
  <c r="D7" i="2"/>
  <c r="C7" i="2"/>
  <c r="B7" i="2"/>
  <c r="N8" i="2"/>
  <c r="M8" i="2"/>
  <c r="L8" i="2"/>
  <c r="K8" i="2"/>
  <c r="J8" i="2"/>
  <c r="I8" i="2"/>
  <c r="H8" i="2"/>
  <c r="G8" i="2"/>
  <c r="F8" i="2"/>
  <c r="E8" i="2"/>
  <c r="D8" i="2"/>
  <c r="C8" i="2"/>
  <c r="B8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<sst xmlns="http://schemas.openxmlformats.org/spreadsheetml/2006/main" count="170" uniqueCount="50">
  <si>
    <t>B Subset Frequencies</t>
  </si>
  <si>
    <t>ABC 1 % of B cells</t>
  </si>
  <si>
    <t>aHD</t>
  </si>
  <si>
    <t>Late Act SMB % of B cells</t>
  </si>
  <si>
    <t>ABC 2 % of B cells</t>
  </si>
  <si>
    <t>PB % of B cells</t>
  </si>
  <si>
    <t>CD21 low % of CD19+ cells</t>
  </si>
  <si>
    <t>Healthy</t>
  </si>
  <si>
    <t>LTNA</t>
  </si>
  <si>
    <t>CXCR3+ % of CD19+ cells</t>
  </si>
  <si>
    <t>CD11c+ % of CD19+ cells</t>
  </si>
  <si>
    <t>CD21 low / CXCR3+ % of CD19+ cells</t>
  </si>
  <si>
    <t>CD21 low / CXCR3+ / CD11c+ % of CD19+ cells</t>
  </si>
  <si>
    <t>CD21 low / CXCR3+ / CD11c+ / PD-L1+ / PD-L2+ % of CD19+ cells</t>
  </si>
  <si>
    <t>Female_LTNA</t>
  </si>
  <si>
    <t>36_45_LTNA</t>
  </si>
  <si>
    <t>MZ/NSM B % of B cells</t>
  </si>
  <si>
    <t>CD5+ B % of B cells</t>
  </si>
  <si>
    <t>ISG B % of B cells</t>
  </si>
  <si>
    <t>Atorvastatin</t>
  </si>
  <si>
    <t>Placebo</t>
  </si>
  <si>
    <t>0.0063559320.007075472</t>
  </si>
  <si>
    <t>Cytokine Profling</t>
  </si>
  <si>
    <t>CCL2</t>
  </si>
  <si>
    <t>Resting B cell</t>
  </si>
  <si>
    <t>de novo EBV</t>
  </si>
  <si>
    <t>EBV+ LCL</t>
  </si>
  <si>
    <t>CCL3</t>
  </si>
  <si>
    <t>IFN-g</t>
  </si>
  <si>
    <t>IL-8</t>
  </si>
  <si>
    <t>CCL4</t>
  </si>
  <si>
    <t>CCL5</t>
  </si>
  <si>
    <t>IL-10</t>
  </si>
  <si>
    <t>IL1-RA</t>
  </si>
  <si>
    <t>CXCL10</t>
  </si>
  <si>
    <t>GM-CSF</t>
  </si>
  <si>
    <t>TNF-a</t>
  </si>
  <si>
    <t>VEGF</t>
  </si>
  <si>
    <t>Baseline (v1)</t>
  </si>
  <si>
    <t>Follow-up (v2)</t>
  </si>
  <si>
    <t>CD21 low / CD11c+ % of CD19+ cells</t>
  </si>
  <si>
    <t>CD21 low / CXCR3+ / PD-L1+ / PD-L2+ % of CD19+ cells</t>
  </si>
  <si>
    <t>All eMS</t>
  </si>
  <si>
    <t>eMS--&gt;LTNA</t>
  </si>
  <si>
    <t>eMS--&gt;SMSA</t>
  </si>
  <si>
    <t>SMSA</t>
  </si>
  <si>
    <t>Healthy + LTNA</t>
  </si>
  <si>
    <t>Female_SMSA</t>
  </si>
  <si>
    <t>36_45_SMSA</t>
  </si>
  <si>
    <t>AHEM B % of B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</si>
</sst>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2EBB-E785-AC45-991C-E613A7C4D97A}">
  <dimension ref="A1:AG28"/>
  <sheetViews>
    <sheetView workbookViewId="0">
      <selection activeCell="B29" sqref="B29"/>
    </sheetView>
  </sheetViews>
  <sheetFormatPr baseColWidth="10" defaultRowHeight="16" x14ac:dyDescent="0.2"/>
  <cols>
    <col min="1" max="1" width="22.1640625" customWidth="1"/>
    <col min="7" max="7" width="11.1640625" bestFit="1" customWidth="1"/>
  </cols>
  <sheetData>
    <row r="1" spans="1:33" x14ac:dyDescent="0.2">
      <c r="A1" s="1" t="s">
        <v>0</v>
      </c>
    </row>
    <row r="3" spans="1:33" x14ac:dyDescent="0.2">
      <c r="A3" s="1" t="s">
        <v>1</v>
      </c>
    </row>
    <row r="4" spans="1:33" x14ac:dyDescent="0.2">
      <c r="A4" t="s">
        <v>2</v>
      </c>
      <c r="B4">
        <v>0.02</v>
      </c>
      <c r="C4">
        <v>4.9861500000000003E-2</v>
      </c>
      <c r="D4">
        <v>4.385965E-2</v>
      </c>
      <c r="E4">
        <v>1.7241380000000001E-2</v>
      </c>
      <c r="F4">
        <v>1.7456360000000001E-2</v>
      </c>
      <c r="G4">
        <v>3.0277889999999998E-2</v>
      </c>
      <c r="H4">
        <v>4.0160639999999997E-2</v>
      </c>
      <c r="I4">
        <v>1.851852E-2</v>
      </c>
      <c r="J4">
        <v>2.75E-2</v>
      </c>
    </row>
    <row r="5" spans="1:33" x14ac:dyDescent="0.2">
      <c r="A5" t="s">
        <v>42</v>
      </c>
      <c r="B5">
        <v>1.851852E-2</v>
      </c>
      <c r="C5">
        <v>3.0555559999999999E-2</v>
      </c>
      <c r="D5">
        <v>8.8888889999999998E-2</v>
      </c>
      <c r="E5">
        <v>6.830601E-2</v>
      </c>
      <c r="F5">
        <v>6.9444439999999996E-2</v>
      </c>
      <c r="G5">
        <v>4.8064089999999997E-2</v>
      </c>
      <c r="H5">
        <v>6.3492060000000003E-2</v>
      </c>
      <c r="I5">
        <v>4.0247680000000001E-2</v>
      </c>
      <c r="J5">
        <v>1.156069E-2</v>
      </c>
      <c r="K5">
        <v>2.5844929999999999E-2</v>
      </c>
      <c r="L5">
        <v>5.8620690000000003E-2</v>
      </c>
      <c r="M5">
        <v>0.10840708</v>
      </c>
      <c r="N5">
        <v>8.1314880000000006E-2</v>
      </c>
      <c r="O5">
        <v>6.7873299999999998E-2</v>
      </c>
      <c r="P5">
        <v>1.6149070000000001E-2</v>
      </c>
      <c r="Q5">
        <v>6.8736140000000001E-2</v>
      </c>
      <c r="R5">
        <v>2.830189E-2</v>
      </c>
      <c r="S5">
        <v>6.1465720000000001E-2</v>
      </c>
      <c r="T5">
        <v>1.483051E-2</v>
      </c>
      <c r="U5">
        <v>5.1679589999999997E-2</v>
      </c>
      <c r="V5">
        <v>5.8035709999999997E-2</v>
      </c>
      <c r="W5">
        <v>2.1126760000000001E-2</v>
      </c>
      <c r="X5">
        <v>3.8768530000000002E-2</v>
      </c>
      <c r="Y5">
        <v>3.7383180000000002E-2</v>
      </c>
      <c r="Z5">
        <v>0.1496063</v>
      </c>
      <c r="AA5">
        <v>0.21680216999999999</v>
      </c>
      <c r="AB5">
        <v>4.0665430000000002E-2</v>
      </c>
      <c r="AC5">
        <v>2.6275119999999999E-2</v>
      </c>
      <c r="AD5">
        <v>5.9113300000000001E-2</v>
      </c>
      <c r="AE5">
        <v>0.10169491999999999</v>
      </c>
      <c r="AF5">
        <v>3.2110090000000001E-2</v>
      </c>
      <c r="AG5">
        <v>2.1226419999999999E-2</v>
      </c>
    </row>
    <row r="6" spans="1:33" x14ac:dyDescent="0.2">
      <c r="A6" t="s">
        <v>43</v>
      </c>
      <c r="B6">
        <v>1.851852E-2</v>
      </c>
      <c r="C6">
        <v>3.0555559999999999E-2</v>
      </c>
      <c r="D6">
        <v>8.8888889999999998E-2</v>
      </c>
      <c r="E6">
        <v>6.830601E-2</v>
      </c>
      <c r="F6">
        <v>6.9444439999999996E-2</v>
      </c>
      <c r="G6">
        <v>4.8064089999999997E-2</v>
      </c>
    </row>
    <row r="7" spans="1:33" x14ac:dyDescent="0.2">
      <c r="A7" t="s">
        <v>44</v>
      </c>
      <c r="B7">
        <v>6.3492060000000003E-2</v>
      </c>
      <c r="C7">
        <v>4.0247680000000001E-2</v>
      </c>
      <c r="D7">
        <v>1.156069E-2</v>
      </c>
      <c r="E7">
        <v>2.5844929999999999E-2</v>
      </c>
      <c r="F7">
        <v>5.8620690000000003E-2</v>
      </c>
      <c r="G7">
        <v>0.10840708</v>
      </c>
      <c r="H7">
        <v>8.1314880000000006E-2</v>
      </c>
      <c r="I7">
        <v>6.7873299999999998E-2</v>
      </c>
      <c r="J7">
        <v>1.6149070000000001E-2</v>
      </c>
      <c r="K7">
        <v>6.8736140000000001E-2</v>
      </c>
      <c r="L7">
        <v>2.830189E-2</v>
      </c>
      <c r="M7">
        <v>6.1465720000000001E-2</v>
      </c>
      <c r="N7">
        <v>1.483051E-2</v>
      </c>
      <c r="O7">
        <v>5.1679589999999997E-2</v>
      </c>
      <c r="P7">
        <v>5.8035709999999997E-2</v>
      </c>
      <c r="Q7">
        <v>2.1126760000000001E-2</v>
      </c>
      <c r="R7">
        <v>3.8768530000000002E-2</v>
      </c>
      <c r="S7">
        <v>3.7383180000000002E-2</v>
      </c>
      <c r="T7">
        <v>0.1496063</v>
      </c>
      <c r="U7">
        <v>0.21680216999999999</v>
      </c>
      <c r="V7">
        <v>4.0665430000000002E-2</v>
      </c>
      <c r="W7">
        <v>2.6275119999999999E-2</v>
      </c>
      <c r="X7">
        <v>5.9113300000000001E-2</v>
      </c>
      <c r="Y7">
        <v>0.10169491999999999</v>
      </c>
      <c r="Z7">
        <v>3.2110090000000001E-2</v>
      </c>
      <c r="AA7">
        <v>2.1226419999999999E-2</v>
      </c>
    </row>
    <row r="10" spans="1:33" x14ac:dyDescent="0.2">
      <c r="A10" s="1" t="s">
        <v>3</v>
      </c>
    </row>
    <row r="11" spans="1:33" x14ac:dyDescent="0.2">
      <c r="A11" t="s">
        <v>2</v>
      </c>
      <c r="B11">
        <v>7.6666670000000006E-2</v>
      </c>
      <c r="C11">
        <v>6.6481990000000005E-2</v>
      </c>
      <c r="D11">
        <v>9.1228069999999994E-2</v>
      </c>
      <c r="E11">
        <v>5.1724140000000002E-2</v>
      </c>
      <c r="F11">
        <v>3.7406479999999999E-2</v>
      </c>
      <c r="G11">
        <v>8.7515549999999998E-2</v>
      </c>
      <c r="H11">
        <v>3.0120480000000002E-2</v>
      </c>
      <c r="I11">
        <v>6.1728400000000003E-2</v>
      </c>
      <c r="J11">
        <v>7.4999999999999997E-2</v>
      </c>
    </row>
    <row r="12" spans="1:33" x14ac:dyDescent="0.2">
      <c r="A12" t="s">
        <v>42</v>
      </c>
      <c r="B12">
        <v>3.2407409999999998E-2</v>
      </c>
      <c r="C12">
        <v>0.05</v>
      </c>
      <c r="D12">
        <v>0</v>
      </c>
      <c r="E12">
        <v>7.3770489999999994E-2</v>
      </c>
      <c r="F12">
        <v>6.1507939999999997E-2</v>
      </c>
      <c r="G12">
        <v>4.4058739999999999E-2</v>
      </c>
      <c r="H12">
        <v>0.10678211</v>
      </c>
      <c r="I12">
        <v>0.22997416000000001</v>
      </c>
      <c r="J12">
        <v>6.501548E-2</v>
      </c>
      <c r="K12">
        <v>6.6964289999999996E-2</v>
      </c>
      <c r="L12">
        <v>6.3583819999999999E-2</v>
      </c>
      <c r="M12">
        <v>0.14084506999999999</v>
      </c>
      <c r="N12">
        <v>0.10536779</v>
      </c>
      <c r="O12">
        <v>0.11174458</v>
      </c>
      <c r="P12">
        <v>5.1724140000000002E-2</v>
      </c>
      <c r="Q12">
        <v>0.11214953</v>
      </c>
      <c r="R12">
        <v>9.5132739999999993E-2</v>
      </c>
      <c r="S12">
        <v>0.14173227999999999</v>
      </c>
      <c r="T12">
        <v>5.0173009999999997E-2</v>
      </c>
      <c r="U12">
        <v>6.5040650000000005E-2</v>
      </c>
      <c r="V12">
        <v>5.7692309999999997E-2</v>
      </c>
      <c r="W12">
        <v>0.10166359</v>
      </c>
      <c r="X12">
        <v>0.10186335000000001</v>
      </c>
      <c r="Y12">
        <v>0.11128283999999999</v>
      </c>
      <c r="Z12">
        <v>0.11751663</v>
      </c>
      <c r="AA12">
        <v>0.20197044</v>
      </c>
      <c r="AB12">
        <v>5.1886790000000002E-2</v>
      </c>
      <c r="AC12">
        <v>0.10169491999999999</v>
      </c>
      <c r="AD12">
        <v>6.3829789999999997E-2</v>
      </c>
      <c r="AE12">
        <v>4.3577980000000002E-2</v>
      </c>
      <c r="AF12">
        <v>6.1440679999999998E-2</v>
      </c>
      <c r="AG12">
        <v>0.12264151</v>
      </c>
    </row>
    <row r="13" spans="1:33" x14ac:dyDescent="0.2">
      <c r="A13" t="s">
        <v>43</v>
      </c>
      <c r="B13">
        <v>3.2407409999999998E-2</v>
      </c>
      <c r="C13">
        <v>0.05</v>
      </c>
      <c r="D13">
        <v>0</v>
      </c>
      <c r="E13">
        <v>7.3770489999999994E-2</v>
      </c>
      <c r="F13">
        <v>6.1507939999999997E-2</v>
      </c>
      <c r="G13">
        <v>4.4058739999999999E-2</v>
      </c>
    </row>
    <row r="14" spans="1:33" x14ac:dyDescent="0.2">
      <c r="A14" t="s">
        <v>44</v>
      </c>
      <c r="B14">
        <v>0.10678211</v>
      </c>
      <c r="C14">
        <v>0.22997416000000001</v>
      </c>
      <c r="D14">
        <v>6.501548E-2</v>
      </c>
      <c r="E14">
        <v>6.6964289999999996E-2</v>
      </c>
      <c r="F14">
        <v>6.3583819999999999E-2</v>
      </c>
      <c r="G14">
        <v>0.14084506999999999</v>
      </c>
      <c r="H14">
        <v>0.10536779</v>
      </c>
      <c r="I14">
        <v>0.11174458</v>
      </c>
      <c r="J14">
        <v>5.1724140000000002E-2</v>
      </c>
      <c r="K14">
        <v>0.11214953</v>
      </c>
      <c r="L14">
        <v>9.5132739999999993E-2</v>
      </c>
      <c r="M14">
        <v>0.14173227999999999</v>
      </c>
      <c r="N14">
        <v>5.0173009999999997E-2</v>
      </c>
      <c r="O14">
        <v>6.5040650000000005E-2</v>
      </c>
      <c r="P14">
        <v>5.7692309999999997E-2</v>
      </c>
      <c r="Q14">
        <v>0.10166359</v>
      </c>
      <c r="R14">
        <v>0.10186335000000001</v>
      </c>
      <c r="S14">
        <v>0.11128283999999999</v>
      </c>
      <c r="T14">
        <v>0.11751663</v>
      </c>
      <c r="U14">
        <v>0.20197044</v>
      </c>
      <c r="V14">
        <v>5.1886790000000002E-2</v>
      </c>
      <c r="W14">
        <v>0.10169491999999999</v>
      </c>
      <c r="X14">
        <v>6.3829789999999997E-2</v>
      </c>
      <c r="Y14">
        <v>4.3577980000000002E-2</v>
      </c>
      <c r="Z14">
        <v>6.1440679999999998E-2</v>
      </c>
      <c r="AA14">
        <v>0.12264151</v>
      </c>
    </row>
    <row r="17" spans="1:33" x14ac:dyDescent="0.2">
      <c r="A17" s="2" t="s">
        <v>4</v>
      </c>
    </row>
    <row r="18" spans="1:33" x14ac:dyDescent="0.2">
      <c r="A18" t="s">
        <v>2</v>
      </c>
      <c r="B18">
        <v>0</v>
      </c>
      <c r="C18">
        <v>1.1080329999999999E-2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0.01</v>
      </c>
    </row>
    <row r="19" spans="1:33" x14ac:dyDescent="0.2">
      <c r="A19" t="s">
        <v>42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1.443001E-3</v>
      </c>
      <c r="I19">
        <v>0</v>
      </c>
      <c r="J19">
        <v>0</v>
      </c>
      <c r="K19">
        <v>0</v>
      </c>
      <c r="L19">
        <v>5.7803469999999999E-3</v>
      </c>
      <c r="M19">
        <v>1.4084507E-2</v>
      </c>
      <c r="N19">
        <v>3.9761429999999997E-3</v>
      </c>
      <c r="O19">
        <v>2.2805019999999998E-3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3.3936650000000001E-3</v>
      </c>
      <c r="W19">
        <v>0</v>
      </c>
      <c r="X19">
        <v>2.4844720000000002E-3</v>
      </c>
      <c r="Y19">
        <v>4.636785E-3</v>
      </c>
      <c r="Z19">
        <v>0</v>
      </c>
      <c r="AA19">
        <v>4.9261080000000002E-3</v>
      </c>
      <c r="AB19">
        <v>0</v>
      </c>
      <c r="AC19">
        <v>0</v>
      </c>
      <c r="AD19">
        <v>1.1820331E-2</v>
      </c>
      <c r="AE19">
        <v>6.8807340000000003E-3</v>
      </c>
      <c r="AF19">
        <v>8.4745759999999993E-3</v>
      </c>
      <c r="AG19">
        <v>9.4339620000000006E-3</v>
      </c>
    </row>
    <row r="20" spans="1:33" x14ac:dyDescent="0.2">
      <c r="A20" t="s">
        <v>43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33" x14ac:dyDescent="0.2">
      <c r="A21" t="s">
        <v>44</v>
      </c>
      <c r="B21">
        <v>1.443001E-3</v>
      </c>
      <c r="C21">
        <v>0</v>
      </c>
      <c r="D21">
        <v>0</v>
      </c>
      <c r="E21">
        <v>0</v>
      </c>
      <c r="F21">
        <v>5.7803469999999999E-3</v>
      </c>
      <c r="G21">
        <v>1.4084507E-2</v>
      </c>
      <c r="H21">
        <v>3.9761429999999997E-3</v>
      </c>
      <c r="I21">
        <v>2.2805019999999998E-3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3.3936650000000001E-3</v>
      </c>
      <c r="Q21">
        <v>0</v>
      </c>
      <c r="R21">
        <v>2.4844720000000002E-3</v>
      </c>
      <c r="S21">
        <v>4.636785E-3</v>
      </c>
      <c r="T21">
        <v>0</v>
      </c>
      <c r="U21">
        <v>4.9261080000000002E-3</v>
      </c>
      <c r="V21">
        <v>0</v>
      </c>
      <c r="W21">
        <v>0</v>
      </c>
      <c r="X21">
        <v>1.1820331E-2</v>
      </c>
      <c r="Y21">
        <v>6.8807340000000003E-3</v>
      </c>
      <c r="Z21">
        <v>8.4745759999999993E-3</v>
      </c>
      <c r="AA21">
        <v>9.4339620000000006E-3</v>
      </c>
    </row>
    <row r="24" spans="1:33" x14ac:dyDescent="0.2">
      <c r="A24" s="2" t="s">
        <v>5</v>
      </c>
    </row>
    <row r="25" spans="1:33" x14ac:dyDescent="0.2">
      <c r="A25" t="s">
        <v>2</v>
      </c>
      <c r="B25">
        <v>0</v>
      </c>
      <c r="C25">
        <v>0</v>
      </c>
      <c r="D25">
        <v>0</v>
      </c>
      <c r="E25">
        <v>0</v>
      </c>
      <c r="F25">
        <v>0</v>
      </c>
      <c r="G25">
        <v>1.5761089999999998E-2</v>
      </c>
      <c r="H25">
        <v>0</v>
      </c>
      <c r="I25">
        <v>3.0864199999999999E-3</v>
      </c>
      <c r="J25">
        <v>1.2500000000000001E-2</v>
      </c>
    </row>
    <row r="26" spans="1:33" x14ac:dyDescent="0.2">
      <c r="A26" t="s">
        <v>42</v>
      </c>
      <c r="B26">
        <v>1.8518519000000001E-2</v>
      </c>
      <c r="C26">
        <v>0.05</v>
      </c>
      <c r="D26">
        <v>4.4444444E-2</v>
      </c>
      <c r="E26">
        <v>0</v>
      </c>
      <c r="F26">
        <v>1.984127E-3</v>
      </c>
      <c r="G26">
        <v>1.335113E-3</v>
      </c>
      <c r="H26">
        <v>5.6277055999999999E-2</v>
      </c>
      <c r="I26">
        <v>4.0051679999999999E-2</v>
      </c>
      <c r="J26">
        <v>5.5727553999999999E-2</v>
      </c>
      <c r="K26">
        <v>5.3571428999999997E-2</v>
      </c>
      <c r="L26">
        <v>0.28034682100000002</v>
      </c>
      <c r="M26">
        <v>3.5211267999999997E-2</v>
      </c>
      <c r="N26">
        <v>8.9463220999999996E-2</v>
      </c>
      <c r="O26">
        <v>7.9817559999999996E-3</v>
      </c>
      <c r="P26">
        <v>3.7931034000000002E-2</v>
      </c>
      <c r="Q26">
        <v>3.2710280000000001E-2</v>
      </c>
      <c r="R26">
        <v>3.9823008999999999E-2</v>
      </c>
      <c r="S26">
        <v>6.2992125999999996E-2</v>
      </c>
      <c r="T26">
        <v>2.2491349000000001E-2</v>
      </c>
      <c r="U26">
        <v>2.7100270999999999E-2</v>
      </c>
      <c r="V26">
        <v>5.6561090000000003E-3</v>
      </c>
      <c r="W26">
        <v>1.1090572999999999E-2</v>
      </c>
      <c r="X26">
        <v>2.9813665E-2</v>
      </c>
      <c r="Y26">
        <v>3.4003090999999999E-2</v>
      </c>
      <c r="Z26">
        <v>2.6607538999999999E-2</v>
      </c>
      <c r="AA26">
        <v>1.9704433E-2</v>
      </c>
      <c r="AB26">
        <v>0</v>
      </c>
      <c r="AC26">
        <v>3.9548023000000002E-2</v>
      </c>
      <c r="AD26">
        <v>2.3640662E-2</v>
      </c>
      <c r="AE26">
        <v>1.3761468000000001E-2</v>
      </c>
      <c r="AF26">
        <v>2.3305085E-2</v>
      </c>
      <c r="AG26">
        <v>1.8867925000000001E-2</v>
      </c>
    </row>
    <row r="27" spans="1:33" x14ac:dyDescent="0.2">
      <c r="A27" t="s">
        <v>43</v>
      </c>
      <c r="B27">
        <v>1.8518519000000001E-2</v>
      </c>
      <c r="C27">
        <v>0.05</v>
      </c>
      <c r="D27">
        <v>4.4444444E-2</v>
      </c>
      <c r="E27">
        <v>0</v>
      </c>
      <c r="F27">
        <v>1.984127E-3</v>
      </c>
      <c r="G27">
        <v>1.335113E-3</v>
      </c>
    </row>
    <row r="28" spans="1:33" x14ac:dyDescent="0.2">
      <c r="A28" t="s">
        <v>44</v>
      </c>
      <c r="B28">
        <v>5.6277055999999999E-2</v>
      </c>
      <c r="C28">
        <v>4.0051679999999999E-2</v>
      </c>
      <c r="D28">
        <v>5.5727553999999999E-2</v>
      </c>
      <c r="E28">
        <v>5.3571428999999997E-2</v>
      </c>
      <c r="F28">
        <v>0.28034682100000002</v>
      </c>
      <c r="G28">
        <v>3.5211267999999997E-2</v>
      </c>
      <c r="H28">
        <v>8.9463220999999996E-2</v>
      </c>
      <c r="I28">
        <v>7.9817559999999996E-3</v>
      </c>
      <c r="J28">
        <v>3.7931034000000002E-2</v>
      </c>
      <c r="K28">
        <v>3.2710280000000001E-2</v>
      </c>
      <c r="L28">
        <v>3.9823008999999999E-2</v>
      </c>
      <c r="M28">
        <v>6.2992125999999996E-2</v>
      </c>
      <c r="N28">
        <v>2.2491349000000001E-2</v>
      </c>
      <c r="O28">
        <v>2.7100270999999999E-2</v>
      </c>
      <c r="P28">
        <v>5.6561090000000003E-3</v>
      </c>
      <c r="Q28">
        <v>1.1090572999999999E-2</v>
      </c>
      <c r="R28">
        <v>2.9813665E-2</v>
      </c>
      <c r="S28">
        <v>3.4003090999999999E-2</v>
      </c>
      <c r="T28">
        <v>2.6607538999999999E-2</v>
      </c>
      <c r="U28">
        <v>1.9704433E-2</v>
      </c>
      <c r="V28">
        <v>0</v>
      </c>
      <c r="W28">
        <v>3.9548023000000002E-2</v>
      </c>
      <c r="X28">
        <v>2.3640662E-2</v>
      </c>
      <c r="Y28">
        <v>1.3761468000000001E-2</v>
      </c>
      <c r="Z28">
        <v>2.3305085E-2</v>
      </c>
      <c r="AA28">
        <v>1.8867925000000001E-2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1856-C0C4-0247-BC12-1BF646037362}">
  <dimension ref="A1:AG21"/>
  <sheetViews>
    <sheetView workbookViewId="0">
      <selection activeCell="B25" sqref="B25"/>
    </sheetView>
  </sheetViews>
  <sheetFormatPr baseColWidth="10" defaultRowHeight="16" x14ac:dyDescent="0.2"/>
  <cols>
    <col min="1" max="1" width="22.1640625" customWidth="1"/>
  </cols>
  <sheetData>
    <row r="1" spans="1:33" x14ac:dyDescent="0.2">
      <c r="A1" s="1" t="s">
        <v>0</v>
      </c>
    </row>
    <row r="3" spans="1:33" x14ac:dyDescent="0.2">
      <c r="A3" s="1" t="s">
        <v>16</v>
      </c>
    </row>
    <row r="4" spans="1:33" x14ac:dyDescent="0.2">
      <c r="A4" t="s">
        <v>2</v>
      </c>
      <c r="B4">
        <v>0.01</v>
      </c>
      <c r="C4">
        <v>4.1551249999999998E-2</v>
      </c>
      <c r="D4">
        <v>4.7368420000000001E-2</v>
      </c>
      <c r="E4">
        <v>2.37069E-2</v>
      </c>
      <c r="F4">
        <v>1.7456360000000001E-2</v>
      </c>
      <c r="G4">
        <v>6.8021570000000003E-2</v>
      </c>
      <c r="H4">
        <v>9.839357E-2</v>
      </c>
      <c r="I4">
        <v>0.10493827</v>
      </c>
      <c r="J4">
        <v>5.5E-2</v>
      </c>
    </row>
    <row r="5" spans="1:33" x14ac:dyDescent="0.2">
      <c r="A5" t="s">
        <v>42</v>
      </c>
      <c r="B5">
        <v>4.1666670000000003E-2</v>
      </c>
      <c r="C5">
        <v>5.2777780000000003E-2</v>
      </c>
      <c r="D5">
        <v>0</v>
      </c>
      <c r="E5">
        <v>2.459016E-2</v>
      </c>
      <c r="F5">
        <v>3.7698410000000002E-2</v>
      </c>
      <c r="G5">
        <v>3.070761E-2</v>
      </c>
      <c r="H5">
        <v>5.6277059999999997E-2</v>
      </c>
      <c r="I5">
        <v>6.3307489999999994E-2</v>
      </c>
      <c r="J5">
        <v>8.6687310000000004E-2</v>
      </c>
      <c r="K5">
        <v>5.3571430000000003E-2</v>
      </c>
      <c r="L5">
        <v>5.4913289999999997E-2</v>
      </c>
      <c r="M5">
        <v>7.7464790000000006E-2</v>
      </c>
      <c r="N5">
        <v>6.9582500000000005E-2</v>
      </c>
      <c r="O5">
        <v>7.7537060000000005E-2</v>
      </c>
      <c r="P5">
        <v>2.4137929999999998E-2</v>
      </c>
      <c r="Q5">
        <v>2.8037380000000001E-2</v>
      </c>
      <c r="R5">
        <v>0.11725664</v>
      </c>
      <c r="S5">
        <v>8.6614170000000004E-2</v>
      </c>
      <c r="T5">
        <v>8.1314880000000006E-2</v>
      </c>
      <c r="U5">
        <v>4.0650409999999998E-2</v>
      </c>
      <c r="V5">
        <v>6.4479640000000005E-2</v>
      </c>
      <c r="W5">
        <v>0.15157116000000001</v>
      </c>
      <c r="X5">
        <v>3.850932E-2</v>
      </c>
      <c r="Y5">
        <v>0.10200927</v>
      </c>
      <c r="Z5">
        <v>5.099778E-2</v>
      </c>
      <c r="AA5">
        <v>4.9261079999999999E-2</v>
      </c>
      <c r="AB5">
        <v>1.886792E-2</v>
      </c>
      <c r="AC5">
        <v>2.259887E-2</v>
      </c>
      <c r="AD5">
        <v>0.14893617000000001</v>
      </c>
      <c r="AE5">
        <v>0.12614679000000001</v>
      </c>
      <c r="AF5">
        <v>0.11016948999999999</v>
      </c>
      <c r="AG5">
        <v>7.7830189999999994E-2</v>
      </c>
    </row>
    <row r="6" spans="1:33" x14ac:dyDescent="0.2">
      <c r="A6" t="s">
        <v>43</v>
      </c>
      <c r="B6">
        <v>4.1666670000000003E-2</v>
      </c>
      <c r="C6">
        <v>5.2777780000000003E-2</v>
      </c>
      <c r="D6">
        <v>0</v>
      </c>
      <c r="E6">
        <v>2.459016E-2</v>
      </c>
      <c r="F6">
        <v>3.7698410000000002E-2</v>
      </c>
      <c r="G6">
        <v>3.070761E-2</v>
      </c>
    </row>
    <row r="7" spans="1:33" x14ac:dyDescent="0.2">
      <c r="A7" t="s">
        <v>44</v>
      </c>
      <c r="B7">
        <v>5.6277059999999997E-2</v>
      </c>
      <c r="C7">
        <v>6.3307489999999994E-2</v>
      </c>
      <c r="D7">
        <v>8.6687310000000004E-2</v>
      </c>
      <c r="E7">
        <v>5.3571430000000003E-2</v>
      </c>
      <c r="F7">
        <v>5.4913289999999997E-2</v>
      </c>
      <c r="G7">
        <v>7.7464790000000006E-2</v>
      </c>
      <c r="H7">
        <v>6.9582500000000005E-2</v>
      </c>
      <c r="I7">
        <v>7.7537060000000005E-2</v>
      </c>
      <c r="J7">
        <v>2.4137929999999998E-2</v>
      </c>
      <c r="K7">
        <v>2.8037380000000001E-2</v>
      </c>
      <c r="L7">
        <v>0.11725664</v>
      </c>
      <c r="M7">
        <v>8.6614170000000004E-2</v>
      </c>
      <c r="N7">
        <v>8.1314880000000006E-2</v>
      </c>
      <c r="O7">
        <v>4.0650409999999998E-2</v>
      </c>
      <c r="P7">
        <v>6.4479640000000005E-2</v>
      </c>
      <c r="Q7">
        <v>0.15157116000000001</v>
      </c>
      <c r="R7">
        <v>3.850932E-2</v>
      </c>
      <c r="S7">
        <v>0.10200927</v>
      </c>
      <c r="T7">
        <v>5.099778E-2</v>
      </c>
      <c r="U7">
        <v>4.9261079999999999E-2</v>
      </c>
      <c r="V7">
        <v>1.886792E-2</v>
      </c>
      <c r="W7">
        <v>2.259887E-2</v>
      </c>
      <c r="X7">
        <v>0.14893617000000001</v>
      </c>
      <c r="Y7">
        <v>0.12614679000000001</v>
      </c>
      <c r="Z7">
        <v>0.11016948999999999</v>
      </c>
      <c r="AA7">
        <v>7.7830189999999994E-2</v>
      </c>
    </row>
    <row r="10" spans="1:33" x14ac:dyDescent="0.2">
      <c r="A10" s="1" t="s">
        <v>17</v>
      </c>
    </row>
    <row r="11" spans="1:33" x14ac:dyDescent="0.2">
      <c r="A11" t="s">
        <v>2</v>
      </c>
      <c r="B11">
        <v>1.6666670000000001E-2</v>
      </c>
      <c r="C11">
        <v>1.1080329999999999E-2</v>
      </c>
      <c r="D11">
        <v>1.22807E-2</v>
      </c>
      <c r="E11">
        <v>2.155172E-2</v>
      </c>
      <c r="F11">
        <v>4.9875309999999999E-2</v>
      </c>
      <c r="G11">
        <v>0</v>
      </c>
      <c r="H11">
        <v>4.6184740000000002E-2</v>
      </c>
      <c r="I11">
        <v>5.5555559999999997E-2</v>
      </c>
      <c r="J11">
        <v>7.4999999999999997E-2</v>
      </c>
    </row>
    <row r="12" spans="1:33" x14ac:dyDescent="0.2">
      <c r="A12" t="s">
        <v>42</v>
      </c>
      <c r="B12">
        <v>2.314815E-3</v>
      </c>
      <c r="C12">
        <v>2.7777779999999998E-3</v>
      </c>
      <c r="D12">
        <v>0</v>
      </c>
      <c r="E12">
        <v>0</v>
      </c>
      <c r="F12">
        <v>1.984127E-3</v>
      </c>
      <c r="G12">
        <v>0</v>
      </c>
      <c r="H12">
        <v>5.7720059999999997E-3</v>
      </c>
      <c r="I12">
        <v>6.4599480000000001E-3</v>
      </c>
      <c r="J12">
        <v>0</v>
      </c>
      <c r="K12">
        <v>4.4642859999999996E-3</v>
      </c>
      <c r="L12">
        <v>2.3121387E-2</v>
      </c>
      <c r="M12">
        <v>7.0422540000000004E-3</v>
      </c>
      <c r="N12">
        <v>5.9642150000000001E-3</v>
      </c>
      <c r="O12">
        <v>1.1402509999999999E-3</v>
      </c>
      <c r="P12">
        <v>1.3793102999999999E-2</v>
      </c>
      <c r="Q12">
        <v>3.2710280000000001E-2</v>
      </c>
      <c r="R12">
        <v>6.6371679999999997E-3</v>
      </c>
      <c r="S12">
        <v>5.2493440000000004E-3</v>
      </c>
      <c r="T12">
        <v>3.4602080000000002E-3</v>
      </c>
      <c r="U12">
        <v>0</v>
      </c>
      <c r="V12">
        <v>3.3936650000000001E-3</v>
      </c>
      <c r="W12">
        <v>3.6968579999999999E-3</v>
      </c>
      <c r="X12">
        <v>2.4844720000000002E-3</v>
      </c>
      <c r="Y12">
        <v>3.0911900000000002E-3</v>
      </c>
      <c r="Z12">
        <v>8.8691800000000008E-3</v>
      </c>
      <c r="AA12">
        <v>2.955665E-2</v>
      </c>
      <c r="AB12">
        <v>4.7169810000000003E-3</v>
      </c>
      <c r="AC12">
        <v>0</v>
      </c>
      <c r="AD12">
        <v>0</v>
      </c>
      <c r="AE12">
        <v>2.2935780000000001E-3</v>
      </c>
      <c r="AF12">
        <v>6.3559319999999999E-3</v>
      </c>
      <c r="AG12">
        <v>7.0754720000000002E-3</v>
      </c>
    </row>
    <row r="13" spans="1:33" x14ac:dyDescent="0.2">
      <c r="A13" t="s">
        <v>43</v>
      </c>
      <c r="B13">
        <v>2.314815E-3</v>
      </c>
      <c r="C13">
        <v>2.7777779999999998E-3</v>
      </c>
      <c r="D13">
        <v>0</v>
      </c>
      <c r="E13">
        <v>0</v>
      </c>
      <c r="F13">
        <v>1.984127E-3</v>
      </c>
      <c r="G13">
        <v>0</v>
      </c>
    </row>
    <row r="14" spans="1:33" x14ac:dyDescent="0.2">
      <c r="A14" t="s">
        <v>44</v>
      </c>
      <c r="B14">
        <v>5.7720059999999997E-3</v>
      </c>
      <c r="C14">
        <v>6.4599480000000001E-3</v>
      </c>
      <c r="D14">
        <v>0</v>
      </c>
      <c r="E14">
        <v>4.4642859999999996E-3</v>
      </c>
      <c r="F14">
        <v>2.3121387E-2</v>
      </c>
      <c r="G14">
        <v>7.0422540000000004E-3</v>
      </c>
      <c r="H14">
        <v>5.9642150000000001E-3</v>
      </c>
      <c r="I14">
        <v>1.1402509999999999E-3</v>
      </c>
      <c r="J14">
        <v>1.3793102999999999E-2</v>
      </c>
      <c r="K14">
        <v>3.2710280000000001E-2</v>
      </c>
      <c r="L14">
        <v>6.6371679999999997E-3</v>
      </c>
      <c r="M14">
        <v>5.2493440000000004E-3</v>
      </c>
      <c r="N14">
        <v>3.4602080000000002E-3</v>
      </c>
      <c r="O14">
        <v>0</v>
      </c>
      <c r="P14">
        <v>3.3936650000000001E-3</v>
      </c>
      <c r="Q14">
        <v>3.6968579999999999E-3</v>
      </c>
      <c r="R14">
        <v>2.4844720000000002E-3</v>
      </c>
      <c r="S14">
        <v>3.0911900000000002E-3</v>
      </c>
      <c r="T14">
        <v>8.8691800000000008E-3</v>
      </c>
      <c r="U14">
        <v>2.955665E-2</v>
      </c>
      <c r="V14">
        <v>4.7169810000000003E-3</v>
      </c>
      <c r="W14">
        <v>0</v>
      </c>
      <c r="X14">
        <v>0</v>
      </c>
      <c r="Y14">
        <v>2.2935780000000001E-3</v>
      </c>
      <c r="Z14">
        <v>6.3559319999999999E-3</v>
      </c>
      <c r="AA14">
        <v>7.0754720000000002E-3</v>
      </c>
    </row>
    <row r="17" spans="1:33" x14ac:dyDescent="0.2">
      <c r="A17" s="2" t="s">
        <v>49</v>
      </c>
    </row>
    <row r="18" spans="1:33" x14ac:dyDescent="0.2">
      <c r="A18" t="s">
        <v>2</v>
      </c>
      <c r="B18">
        <v>3.333333E-3</v>
      </c>
      <c r="C18">
        <v>0</v>
      </c>
      <c r="D18">
        <v>7.0175439999999997E-3</v>
      </c>
      <c r="E18">
        <v>4.3103450000000001E-3</v>
      </c>
      <c r="F18">
        <v>7.4812969999999996E-3</v>
      </c>
      <c r="G18">
        <v>8.2953130000000003E-3</v>
      </c>
      <c r="H18">
        <v>8.0321290000000007E-3</v>
      </c>
      <c r="I18">
        <v>6.1728399999999998E-3</v>
      </c>
      <c r="J18">
        <v>5.5E-2</v>
      </c>
    </row>
    <row r="19" spans="1:33" x14ac:dyDescent="0.2">
      <c r="A19" t="s">
        <v>42</v>
      </c>
      <c r="B19">
        <v>2.314815E-3</v>
      </c>
      <c r="C19">
        <v>1.3888889E-2</v>
      </c>
      <c r="D19">
        <v>4.4444444E-2</v>
      </c>
      <c r="E19">
        <v>8.1967210000000006E-3</v>
      </c>
      <c r="F19">
        <v>3.9682540000000001E-3</v>
      </c>
      <c r="G19">
        <v>5.3404539999999997E-3</v>
      </c>
      <c r="H19">
        <v>2.1645022E-2</v>
      </c>
      <c r="I19">
        <v>9.0439279999999997E-3</v>
      </c>
      <c r="J19">
        <v>6.1919499999999999E-3</v>
      </c>
      <c r="K19">
        <v>8.9285709999999997E-3</v>
      </c>
      <c r="L19">
        <v>8.6705199999999993E-3</v>
      </c>
      <c r="M19">
        <v>1.4084507E-2</v>
      </c>
      <c r="N19">
        <v>7.9522859999999994E-3</v>
      </c>
      <c r="O19">
        <v>2.7366021000000001E-2</v>
      </c>
      <c r="P19">
        <v>2.7586207000000001E-2</v>
      </c>
      <c r="Q19">
        <v>3.7383178000000003E-2</v>
      </c>
      <c r="R19">
        <v>2.6548672999999998E-2</v>
      </c>
      <c r="S19">
        <v>7.8740159999999993E-3</v>
      </c>
      <c r="T19">
        <v>1.0380623E-2</v>
      </c>
      <c r="U19">
        <v>2.9810297999999999E-2</v>
      </c>
      <c r="V19">
        <v>2.1493213000000001E-2</v>
      </c>
      <c r="W19">
        <v>2.0332717E-2</v>
      </c>
      <c r="X19">
        <v>3.2298136999999998E-2</v>
      </c>
      <c r="Y19">
        <v>4.636785E-3</v>
      </c>
      <c r="Z19">
        <v>2.2172950000000002E-3</v>
      </c>
      <c r="AA19">
        <v>5.4187192000000002E-2</v>
      </c>
      <c r="AB19">
        <v>0</v>
      </c>
      <c r="AC19">
        <v>0</v>
      </c>
      <c r="AD19">
        <v>1.891253E-2</v>
      </c>
      <c r="AE19">
        <v>9.1743120000000004E-3</v>
      </c>
      <c r="AF19">
        <v>2.7542372999999998E-2</v>
      </c>
      <c r="AG19">
        <v>1.1792453E-2</v>
      </c>
    </row>
    <row r="20" spans="1:33" x14ac:dyDescent="0.2">
      <c r="A20" t="s">
        <v>43</v>
      </c>
      <c r="B20">
        <v>2.314815E-3</v>
      </c>
      <c r="C20">
        <v>1.3888889E-2</v>
      </c>
      <c r="D20">
        <v>4.4444444E-2</v>
      </c>
      <c r="E20">
        <v>8.1967210000000006E-3</v>
      </c>
      <c r="F20">
        <v>3.9682540000000001E-3</v>
      </c>
      <c r="G20">
        <v>5.3404539999999997E-3</v>
      </c>
    </row>
    <row r="21" spans="1:33" x14ac:dyDescent="0.2">
      <c r="A21" t="s">
        <v>44</v>
      </c>
      <c r="B21">
        <v>2.1645022E-2</v>
      </c>
      <c r="C21">
        <v>9.0439279999999997E-3</v>
      </c>
      <c r="D21">
        <v>6.1919499999999999E-3</v>
      </c>
      <c r="E21">
        <v>8.9285709999999997E-3</v>
      </c>
      <c r="F21">
        <v>8.6705199999999993E-3</v>
      </c>
      <c r="G21">
        <v>1.4084507E-2</v>
      </c>
      <c r="H21">
        <v>7.9522859999999994E-3</v>
      </c>
      <c r="I21">
        <v>2.7366021000000001E-2</v>
      </c>
      <c r="J21">
        <v>2.7586207000000001E-2</v>
      </c>
      <c r="K21">
        <v>3.7383178000000003E-2</v>
      </c>
      <c r="L21">
        <v>2.6548672999999998E-2</v>
      </c>
      <c r="M21">
        <v>7.8740159999999993E-3</v>
      </c>
      <c r="N21">
        <v>1.0380623E-2</v>
      </c>
      <c r="O21">
        <v>2.9810297999999999E-2</v>
      </c>
      <c r="P21">
        <v>2.1493213000000001E-2</v>
      </c>
      <c r="Q21">
        <v>2.0332717E-2</v>
      </c>
      <c r="R21">
        <v>3.2298136999999998E-2</v>
      </c>
      <c r="S21">
        <v>4.636785E-3</v>
      </c>
      <c r="T21">
        <v>2.2172950000000002E-3</v>
      </c>
      <c r="U21">
        <v>5.4187192000000002E-2</v>
      </c>
      <c r="V21">
        <v>0</v>
      </c>
      <c r="W21">
        <v>0</v>
      </c>
      <c r="X21">
        <v>1.891253E-2</v>
      </c>
      <c r="Y21">
        <v>9.1743120000000004E-3</v>
      </c>
      <c r="Z21">
        <v>2.7542372999999998E-2</v>
      </c>
      <c r="AA21">
        <v>1.1792453E-2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4824-7AE6-1E4B-9E3D-ADECE060C7B8}">
  <dimension ref="A1:Y10"/>
  <sheetViews>
    <sheetView workbookViewId="0">
      <selection activeCell="I20" sqref="I20"/>
    </sheetView>
  </sheetViews>
  <sheetFormatPr baseColWidth="10" defaultRowHeight="16" x14ac:dyDescent="0.2"/>
  <cols>
    <col min="1" max="1" width="20.6640625" customWidth="1"/>
  </cols>
  <sheetData>
    <row r="1" spans="1:25" x14ac:dyDescent="0.2">
      <c r="A1" s="1" t="s">
        <v>0</v>
      </c>
    </row>
    <row r="3" spans="1:25" x14ac:dyDescent="0.2">
      <c r="A3" s="1" t="s">
        <v>18</v>
      </c>
    </row>
    <row r="4" spans="1:25" x14ac:dyDescent="0.2">
      <c r="A4" t="s">
        <v>19</v>
      </c>
      <c r="B4">
        <v>5.7720059999999997E-3</v>
      </c>
      <c r="C4">
        <v>5.1679589999999997E-3</v>
      </c>
      <c r="D4">
        <v>9.2879260000000002E-3</v>
      </c>
      <c r="E4">
        <v>8.9285709999999997E-3</v>
      </c>
      <c r="F4">
        <v>0</v>
      </c>
      <c r="G4">
        <v>0</v>
      </c>
      <c r="H4">
        <v>0</v>
      </c>
      <c r="I4">
        <v>4.6728969999999996E-3</v>
      </c>
      <c r="J4">
        <v>0</v>
      </c>
      <c r="K4">
        <v>2.6246720000000002E-3</v>
      </c>
      <c r="L4">
        <v>0</v>
      </c>
      <c r="M4">
        <v>1.848429E-3</v>
      </c>
      <c r="N4">
        <v>2.2172950000000002E-3</v>
      </c>
      <c r="O4">
        <v>0</v>
      </c>
      <c r="P4">
        <v>0.688888889</v>
      </c>
      <c r="Q4">
        <v>0</v>
      </c>
      <c r="R4">
        <v>1.984127E-3</v>
      </c>
      <c r="S4">
        <v>8.0106810000000004E-3</v>
      </c>
      <c r="T4">
        <v>1.4150942999999999E-2</v>
      </c>
      <c r="U4">
        <v>5.6497179999999998E-3</v>
      </c>
      <c r="V4">
        <v>0</v>
      </c>
      <c r="W4">
        <v>2.2935780000000001E-3</v>
      </c>
      <c r="X4">
        <v>0</v>
      </c>
      <c r="Y4">
        <v>4.7169810000000003E-3</v>
      </c>
    </row>
    <row r="5" spans="1:25" x14ac:dyDescent="0.2">
      <c r="A5" t="s">
        <v>20</v>
      </c>
      <c r="B5">
        <v>0</v>
      </c>
      <c r="C5">
        <v>5.5555559999999997E-3</v>
      </c>
      <c r="D5">
        <v>7.9522859999999994E-3</v>
      </c>
      <c r="E5">
        <v>2.2805019999999998E-3</v>
      </c>
      <c r="F5">
        <v>5.1903110000000004E-3</v>
      </c>
      <c r="G5">
        <v>0.47967479699999999</v>
      </c>
      <c r="H5">
        <v>3.726708E-3</v>
      </c>
      <c r="I5">
        <v>0</v>
      </c>
    </row>
    <row r="8" spans="1:25" x14ac:dyDescent="0.2">
      <c r="A8" s="1" t="s">
        <v>17</v>
      </c>
    </row>
    <row r="9" spans="1:25" x14ac:dyDescent="0.2">
      <c r="A9" t="s">
        <v>19</v>
      </c>
      <c r="B9">
        <v>5.7720059999999997E-3</v>
      </c>
      <c r="C9">
        <v>6.4599480000000001E-3</v>
      </c>
      <c r="D9">
        <v>0</v>
      </c>
      <c r="E9">
        <v>4.4642859999999996E-3</v>
      </c>
      <c r="F9">
        <v>2.3121387E-2</v>
      </c>
      <c r="G9">
        <v>7.0422540000000004E-3</v>
      </c>
      <c r="H9">
        <v>1.3793102999999999E-2</v>
      </c>
      <c r="I9">
        <v>3.2710280000000001E-2</v>
      </c>
      <c r="J9">
        <v>6.6371679999999997E-3</v>
      </c>
      <c r="K9">
        <v>5.2493440000000004E-3</v>
      </c>
      <c r="L9">
        <v>3.3936650000000001E-3</v>
      </c>
      <c r="M9">
        <v>3.6968579999999999E-3</v>
      </c>
      <c r="N9">
        <v>8.8691800000000008E-3</v>
      </c>
      <c r="O9">
        <v>2.955665E-2</v>
      </c>
      <c r="P9">
        <v>0</v>
      </c>
      <c r="Q9">
        <v>0</v>
      </c>
      <c r="R9">
        <v>1.984127E-3</v>
      </c>
      <c r="S9">
        <v>0</v>
      </c>
      <c r="T9">
        <v>4.7169810000000003E-3</v>
      </c>
      <c r="U9">
        <v>0</v>
      </c>
      <c r="V9">
        <v>0</v>
      </c>
      <c r="W9">
        <v>2.2935780000000001E-3</v>
      </c>
      <c r="X9" t="s">
        <v>21</v>
      </c>
    </row>
    <row r="10" spans="1:25" x14ac:dyDescent="0.2">
      <c r="A10" t="s">
        <v>20</v>
      </c>
      <c r="B10">
        <v>2.314815E-3</v>
      </c>
      <c r="C10">
        <v>2.7777779999999998E-3</v>
      </c>
      <c r="D10">
        <v>5.9642150000000001E-3</v>
      </c>
      <c r="E10">
        <v>1.1402509999999999E-3</v>
      </c>
      <c r="F10">
        <v>3.4602080000000002E-3</v>
      </c>
      <c r="G10">
        <v>0</v>
      </c>
      <c r="H10">
        <v>2.4844720000000002E-3</v>
      </c>
      <c r="I10">
        <v>3.0911900000000002E-3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3F12-3694-1246-BF00-A28B3B0CF1F9}">
  <dimension ref="A1:E72"/>
  <sheetViews>
    <sheetView workbookViewId="0">
      <selection activeCell="E72" sqref="E72"/>
    </sheetView>
  </sheetViews>
  <sheetFormatPr baseColWidth="10" defaultRowHeight="16" x14ac:dyDescent="0.2"/>
  <cols>
    <col min="1" max="1" width="15.33203125" bestFit="1" customWidth="1"/>
  </cols>
  <sheetData>
    <row r="1" spans="1:5" x14ac:dyDescent="0.2">
      <c r="A1" s="1" t="s">
        <v>22</v>
      </c>
    </row>
    <row r="3" spans="1:5" x14ac:dyDescent="0.2">
      <c r="A3" s="1" t="s">
        <v>23</v>
      </c>
    </row>
    <row r="4" spans="1:5" x14ac:dyDescent="0.2">
      <c r="A4" t="s">
        <v>24</v>
      </c>
      <c r="B4">
        <v>2.4500000000000002</v>
      </c>
      <c r="C4">
        <v>6.88</v>
      </c>
      <c r="D4">
        <v>3.59</v>
      </c>
      <c r="E4">
        <v>19.14</v>
      </c>
    </row>
    <row r="5" spans="1:5" x14ac:dyDescent="0.2">
      <c r="A5" t="s">
        <v>25</v>
      </c>
      <c r="B5">
        <v>61</v>
      </c>
      <c r="C5">
        <v>44.68</v>
      </c>
      <c r="D5">
        <v>173.85</v>
      </c>
      <c r="E5">
        <v>112.76</v>
      </c>
    </row>
    <row r="6" spans="1:5" x14ac:dyDescent="0.2">
      <c r="A6" t="s">
        <v>26</v>
      </c>
      <c r="B6">
        <v>1.46</v>
      </c>
      <c r="C6">
        <v>0.45</v>
      </c>
      <c r="D6">
        <v>12.88</v>
      </c>
      <c r="E6">
        <v>6.6</v>
      </c>
    </row>
    <row r="9" spans="1:5" x14ac:dyDescent="0.2">
      <c r="A9" s="1" t="s">
        <v>27</v>
      </c>
    </row>
    <row r="10" spans="1:5" x14ac:dyDescent="0.2">
      <c r="A10" t="s">
        <v>24</v>
      </c>
      <c r="B10">
        <v>6.01</v>
      </c>
      <c r="C10">
        <v>6.56</v>
      </c>
      <c r="D10">
        <v>24.2</v>
      </c>
      <c r="E10">
        <v>28.84</v>
      </c>
    </row>
    <row r="11" spans="1:5" x14ac:dyDescent="0.2">
      <c r="A11" t="s">
        <v>25</v>
      </c>
      <c r="B11">
        <v>10000</v>
      </c>
      <c r="C11">
        <v>5561.35</v>
      </c>
      <c r="D11">
        <v>5281.8</v>
      </c>
      <c r="E11">
        <v>2841.81</v>
      </c>
    </row>
    <row r="12" spans="1:5" x14ac:dyDescent="0.2">
      <c r="A12" t="s">
        <v>26</v>
      </c>
      <c r="B12">
        <v>738.17</v>
      </c>
      <c r="C12">
        <v>421.9</v>
      </c>
      <c r="D12">
        <v>2389.4</v>
      </c>
      <c r="E12">
        <v>3270.9</v>
      </c>
    </row>
    <row r="15" spans="1:5" x14ac:dyDescent="0.2">
      <c r="A15" s="1" t="s">
        <v>28</v>
      </c>
    </row>
    <row r="16" spans="1:5" x14ac:dyDescent="0.2">
      <c r="A16" t="s">
        <v>24</v>
      </c>
      <c r="B16">
        <v>4.08</v>
      </c>
      <c r="C16">
        <v>6.1</v>
      </c>
      <c r="D16">
        <v>0.21</v>
      </c>
      <c r="E16">
        <v>7.0000000000000007E-2</v>
      </c>
    </row>
    <row r="17" spans="1:5" x14ac:dyDescent="0.2">
      <c r="A17" t="s">
        <v>25</v>
      </c>
      <c r="B17">
        <v>171.62</v>
      </c>
      <c r="C17">
        <v>465.62</v>
      </c>
      <c r="D17">
        <v>204.33</v>
      </c>
      <c r="E17">
        <v>423.3</v>
      </c>
    </row>
    <row r="18" spans="1:5" x14ac:dyDescent="0.2">
      <c r="A18" t="s">
        <v>26</v>
      </c>
      <c r="B18">
        <v>13.93</v>
      </c>
      <c r="C18">
        <v>13.93</v>
      </c>
      <c r="D18">
        <v>14.78</v>
      </c>
      <c r="E18">
        <v>31.35</v>
      </c>
    </row>
    <row r="21" spans="1:5" x14ac:dyDescent="0.2">
      <c r="A21" s="1" t="s">
        <v>29</v>
      </c>
    </row>
    <row r="22" spans="1:5" x14ac:dyDescent="0.2">
      <c r="A22" t="s">
        <v>24</v>
      </c>
      <c r="B22">
        <v>6.04</v>
      </c>
      <c r="C22">
        <v>56.05</v>
      </c>
      <c r="D22">
        <v>3.83</v>
      </c>
      <c r="E22">
        <v>46.68</v>
      </c>
    </row>
    <row r="23" spans="1:5" x14ac:dyDescent="0.2">
      <c r="A23" t="s">
        <v>25</v>
      </c>
      <c r="B23">
        <v>2245.9299999999998</v>
      </c>
      <c r="C23">
        <v>1097.24</v>
      </c>
      <c r="D23">
        <v>1394.59</v>
      </c>
      <c r="E23">
        <v>706.48</v>
      </c>
    </row>
    <row r="24" spans="1:5" x14ac:dyDescent="0.2">
      <c r="A24" t="s">
        <v>26</v>
      </c>
      <c r="B24">
        <v>12.43</v>
      </c>
      <c r="C24">
        <v>12.08</v>
      </c>
      <c r="D24">
        <v>14.05</v>
      </c>
      <c r="E24">
        <v>11.46</v>
      </c>
    </row>
    <row r="27" spans="1:5" x14ac:dyDescent="0.2">
      <c r="A27" s="1" t="s">
        <v>30</v>
      </c>
    </row>
    <row r="28" spans="1:5" x14ac:dyDescent="0.2">
      <c r="A28" t="s">
        <v>24</v>
      </c>
      <c r="B28">
        <v>295.87</v>
      </c>
      <c r="C28">
        <v>180.24</v>
      </c>
      <c r="D28">
        <v>74.38</v>
      </c>
      <c r="E28">
        <v>46.7</v>
      </c>
    </row>
    <row r="29" spans="1:5" x14ac:dyDescent="0.2">
      <c r="A29" t="s">
        <v>25</v>
      </c>
      <c r="B29">
        <v>4676.2700000000004</v>
      </c>
      <c r="C29">
        <v>6039.08</v>
      </c>
      <c r="D29">
        <v>4707.51</v>
      </c>
      <c r="E29">
        <v>3461.59</v>
      </c>
    </row>
    <row r="30" spans="1:5" x14ac:dyDescent="0.2">
      <c r="A30" t="s">
        <v>26</v>
      </c>
      <c r="B30">
        <v>4329.55</v>
      </c>
      <c r="C30">
        <v>5266.5</v>
      </c>
      <c r="D30">
        <v>1217.0899999999999</v>
      </c>
      <c r="E30">
        <v>747.93</v>
      </c>
    </row>
    <row r="33" spans="1:5" x14ac:dyDescent="0.2">
      <c r="A33" s="1" t="s">
        <v>31</v>
      </c>
    </row>
    <row r="34" spans="1:5" x14ac:dyDescent="0.2">
      <c r="A34" t="s">
        <v>24</v>
      </c>
      <c r="B34">
        <v>4.78</v>
      </c>
      <c r="C34">
        <v>5.34</v>
      </c>
      <c r="D34">
        <v>7.66</v>
      </c>
      <c r="E34">
        <v>9.31</v>
      </c>
    </row>
    <row r="35" spans="1:5" x14ac:dyDescent="0.2">
      <c r="A35" t="s">
        <v>25</v>
      </c>
      <c r="B35">
        <v>2223.29</v>
      </c>
      <c r="C35">
        <v>3064.53</v>
      </c>
      <c r="D35">
        <v>2122.25</v>
      </c>
      <c r="E35">
        <v>2506.61</v>
      </c>
    </row>
    <row r="36" spans="1:5" x14ac:dyDescent="0.2">
      <c r="A36" t="s">
        <v>26</v>
      </c>
      <c r="B36">
        <v>328</v>
      </c>
      <c r="C36">
        <v>289.47000000000003</v>
      </c>
      <c r="D36">
        <v>418.3</v>
      </c>
      <c r="E36">
        <v>438.05</v>
      </c>
    </row>
    <row r="39" spans="1:5" x14ac:dyDescent="0.2">
      <c r="A39" s="1" t="s">
        <v>32</v>
      </c>
    </row>
    <row r="40" spans="1:5" x14ac:dyDescent="0.2">
      <c r="A40" t="s">
        <v>24</v>
      </c>
      <c r="B40">
        <v>2.57</v>
      </c>
      <c r="C40">
        <v>1.35</v>
      </c>
      <c r="D40">
        <v>7.53</v>
      </c>
      <c r="E40">
        <v>3.18</v>
      </c>
    </row>
    <row r="41" spans="1:5" x14ac:dyDescent="0.2">
      <c r="A41" t="s">
        <v>25</v>
      </c>
      <c r="B41">
        <v>165.34</v>
      </c>
      <c r="C41">
        <v>196.72</v>
      </c>
      <c r="D41">
        <v>590.6</v>
      </c>
      <c r="E41">
        <v>631.71</v>
      </c>
    </row>
    <row r="42" spans="1:5" x14ac:dyDescent="0.2">
      <c r="A42" t="s">
        <v>26</v>
      </c>
      <c r="B42">
        <v>70.849999999999994</v>
      </c>
      <c r="C42">
        <v>53.92</v>
      </c>
      <c r="D42">
        <v>374.19</v>
      </c>
      <c r="E42">
        <v>302.82</v>
      </c>
    </row>
    <row r="45" spans="1:5" x14ac:dyDescent="0.2">
      <c r="A45" s="1" t="s">
        <v>33</v>
      </c>
    </row>
    <row r="46" spans="1:5" x14ac:dyDescent="0.2">
      <c r="A46" t="s">
        <v>24</v>
      </c>
      <c r="B46">
        <v>7.66</v>
      </c>
      <c r="C46">
        <v>6.56</v>
      </c>
      <c r="D46">
        <v>0</v>
      </c>
      <c r="E46">
        <v>0.96</v>
      </c>
    </row>
    <row r="47" spans="1:5" x14ac:dyDescent="0.2">
      <c r="A47" t="s">
        <v>25</v>
      </c>
      <c r="B47">
        <v>183.28</v>
      </c>
      <c r="C47">
        <v>165.93</v>
      </c>
      <c r="D47">
        <v>61.37</v>
      </c>
      <c r="E47">
        <v>44.91</v>
      </c>
    </row>
    <row r="48" spans="1:5" x14ac:dyDescent="0.2">
      <c r="A48" t="s">
        <v>26</v>
      </c>
      <c r="B48">
        <v>10.65</v>
      </c>
      <c r="C48">
        <v>11.79</v>
      </c>
      <c r="D48">
        <v>8.0500000000000007</v>
      </c>
      <c r="E48">
        <v>5.57</v>
      </c>
    </row>
    <row r="51" spans="1:5" x14ac:dyDescent="0.2">
      <c r="A51" s="1" t="s">
        <v>34</v>
      </c>
    </row>
    <row r="52" spans="1:5" x14ac:dyDescent="0.2">
      <c r="A52" t="s">
        <v>24</v>
      </c>
      <c r="B52">
        <v>12.47</v>
      </c>
      <c r="C52">
        <v>9.94</v>
      </c>
      <c r="D52">
        <v>1.29</v>
      </c>
      <c r="E52">
        <v>0</v>
      </c>
    </row>
    <row r="53" spans="1:5" x14ac:dyDescent="0.2">
      <c r="A53" t="s">
        <v>25</v>
      </c>
      <c r="B53">
        <v>2008.89</v>
      </c>
      <c r="C53">
        <v>1748.86</v>
      </c>
      <c r="D53">
        <v>1113.6199999999999</v>
      </c>
      <c r="E53">
        <v>845.82</v>
      </c>
    </row>
    <row r="54" spans="1:5" x14ac:dyDescent="0.2">
      <c r="A54" t="s">
        <v>26</v>
      </c>
      <c r="B54">
        <v>115.61</v>
      </c>
      <c r="C54">
        <v>27.43</v>
      </c>
      <c r="D54">
        <v>73.37</v>
      </c>
      <c r="E54">
        <v>17.54</v>
      </c>
    </row>
    <row r="57" spans="1:5" x14ac:dyDescent="0.2">
      <c r="A57" s="2" t="s">
        <v>35</v>
      </c>
    </row>
    <row r="58" spans="1:5" x14ac:dyDescent="0.2">
      <c r="A58" s="3" t="s">
        <v>24</v>
      </c>
      <c r="B58">
        <v>6.35</v>
      </c>
      <c r="C58">
        <v>5.57</v>
      </c>
      <c r="D58">
        <v>1.68</v>
      </c>
      <c r="E58">
        <v>1.24</v>
      </c>
    </row>
    <row r="59" spans="1:5" x14ac:dyDescent="0.2">
      <c r="A59" s="3" t="s">
        <v>25</v>
      </c>
      <c r="B59">
        <v>101.36</v>
      </c>
      <c r="C59">
        <v>116.09</v>
      </c>
      <c r="D59">
        <v>839.44</v>
      </c>
      <c r="E59">
        <v>708.07</v>
      </c>
    </row>
    <row r="60" spans="1:5" x14ac:dyDescent="0.2">
      <c r="A60" s="3" t="s">
        <v>26</v>
      </c>
      <c r="B60">
        <v>0</v>
      </c>
      <c r="C60">
        <v>0</v>
      </c>
      <c r="D60">
        <v>43.56</v>
      </c>
      <c r="E60">
        <v>28.26</v>
      </c>
    </row>
    <row r="63" spans="1:5" x14ac:dyDescent="0.2">
      <c r="A63" s="2" t="s">
        <v>36</v>
      </c>
    </row>
    <row r="64" spans="1:5" x14ac:dyDescent="0.2">
      <c r="A64" s="3" t="s">
        <v>24</v>
      </c>
      <c r="B64">
        <v>7.5</v>
      </c>
      <c r="C64">
        <v>5.24</v>
      </c>
      <c r="D64">
        <v>4.09</v>
      </c>
      <c r="E64">
        <v>3.72</v>
      </c>
    </row>
    <row r="65" spans="1:5" x14ac:dyDescent="0.2">
      <c r="A65" s="3" t="s">
        <v>25</v>
      </c>
      <c r="B65">
        <v>26.02</v>
      </c>
      <c r="C65">
        <v>35.75</v>
      </c>
      <c r="D65">
        <v>101.2</v>
      </c>
      <c r="E65">
        <v>83.64</v>
      </c>
    </row>
    <row r="66" spans="1:5" x14ac:dyDescent="0.2">
      <c r="A66" s="3" t="s">
        <v>26</v>
      </c>
      <c r="B66">
        <v>6.36</v>
      </c>
      <c r="C66">
        <v>3.14</v>
      </c>
      <c r="D66">
        <v>34.979999999999997</v>
      </c>
      <c r="E66">
        <v>34.21</v>
      </c>
    </row>
    <row r="69" spans="1:5" x14ac:dyDescent="0.2">
      <c r="A69" s="2" t="s">
        <v>37</v>
      </c>
    </row>
    <row r="70" spans="1:5" x14ac:dyDescent="0.2">
      <c r="A70" s="3" t="s">
        <v>24</v>
      </c>
      <c r="B70">
        <v>8.2899999999999991</v>
      </c>
      <c r="C70">
        <v>5.57</v>
      </c>
      <c r="D70">
        <v>1.45</v>
      </c>
      <c r="E70">
        <v>4.57</v>
      </c>
    </row>
    <row r="71" spans="1:5" x14ac:dyDescent="0.2">
      <c r="A71" s="3" t="s">
        <v>25</v>
      </c>
      <c r="B71">
        <v>35.909999999999997</v>
      </c>
      <c r="C71">
        <v>27.6</v>
      </c>
      <c r="D71">
        <v>341.01</v>
      </c>
      <c r="E71">
        <v>314.49</v>
      </c>
    </row>
    <row r="72" spans="1:5" x14ac:dyDescent="0.2">
      <c r="A72" s="3" t="s">
        <v>26</v>
      </c>
      <c r="B72">
        <v>32.19</v>
      </c>
      <c r="C72">
        <v>48.19</v>
      </c>
      <c r="D72">
        <v>246.41</v>
      </c>
      <c r="E72">
        <v>281.17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3827-0FD2-ED4B-8649-55B9B3CDAFEE}">
  <dimension ref="A1:S8"/>
  <sheetViews>
    <sheetView workbookViewId="0">
      <selection activeCell="A15" sqref="A15"/>
    </sheetView>
  </sheetViews>
  <sheetFormatPr baseColWidth="10" defaultRowHeight="16" x14ac:dyDescent="0.2"/>
  <cols>
    <col min="1" max="1" width="32" bestFit="1" customWidth="1"/>
  </cols>
  <sheetData>
    <row r="1" spans="1:19" x14ac:dyDescent="0.2">
      <c r="A1" s="1" t="s">
        <v>0</v>
      </c>
    </row>
    <row r="3" spans="1:19" x14ac:dyDescent="0.2">
      <c r="A3" s="1" t="s">
        <v>11</v>
      </c>
    </row>
    <row r="4" spans="1:19" x14ac:dyDescent="0.2">
      <c r="A4" t="s">
        <v>7</v>
      </c>
      <c r="B4">
        <f>1.55617 *0.01</f>
        <v>1.5561700000000001E-2</v>
      </c>
      <c r="C4">
        <f>1.57488 *0.01</f>
        <v>1.57488E-2</v>
      </c>
      <c r="D4">
        <f>0.6076 *0.01</f>
        <v>6.0760000000000007E-3</v>
      </c>
      <c r="E4">
        <f>0.56776 *0.01</f>
        <v>5.6776000000000005E-3</v>
      </c>
      <c r="F4">
        <f>1.68 *0.01</f>
        <v>1.6799999999999999E-2</v>
      </c>
      <c r="G4">
        <f>2.3876 *0.01</f>
        <v>2.3876000000000001E-2</v>
      </c>
    </row>
    <row r="5" spans="1:19" x14ac:dyDescent="0.2">
      <c r="A5" t="s">
        <v>42</v>
      </c>
      <c r="B5">
        <f>0.97632 * 0.01</f>
        <v>9.7631999999999997E-3</v>
      </c>
      <c r="C5">
        <f>1.12* 0.01</f>
        <v>1.1200000000000002E-2</v>
      </c>
      <c r="D5">
        <f>2.79444* 0.01</f>
        <v>2.7944399999999998E-2</v>
      </c>
      <c r="E5">
        <f>2.6329* 0.01</f>
        <v>2.6328999999999998E-2</v>
      </c>
      <c r="F5">
        <f>11.9714* 0.01</f>
        <v>0.11971399999999999</v>
      </c>
      <c r="G5">
        <f>2.2294* 0.01</f>
        <v>2.2294000000000001E-2</v>
      </c>
      <c r="H5">
        <f>0.3399* 0.01</f>
        <v>3.3989999999999997E-3</v>
      </c>
      <c r="I5">
        <f>15.1392 * 0.01</f>
        <v>0.151392</v>
      </c>
      <c r="J5">
        <f>2.40384 * 0.01</f>
        <v>2.4038400000000001E-2</v>
      </c>
      <c r="K5">
        <f>2.5137 * 0.01</f>
        <v>2.5137E-2</v>
      </c>
      <c r="L5">
        <f>2.40524 * 0.01</f>
        <v>2.4052400000000002E-2</v>
      </c>
      <c r="M5">
        <f>4.408 * 0.01</f>
        <v>4.4080000000000001E-2</v>
      </c>
      <c r="N5">
        <f>4.345 * 0.01</f>
        <v>4.3449999999999996E-2</v>
      </c>
      <c r="O5">
        <f>5.81 * 0.01</f>
        <v>5.8099999999999999E-2</v>
      </c>
      <c r="P5">
        <f>8.2688 * 0.01</f>
        <v>8.2688000000000011E-2</v>
      </c>
      <c r="Q5">
        <f>4.2054 * 0.01</f>
        <v>4.2054000000000001E-2</v>
      </c>
      <c r="R5">
        <f>0.94058 * 0.01</f>
        <v>9.4058000000000006E-3</v>
      </c>
      <c r="S5">
        <f>3.8796 * 0.01</f>
        <v>3.8795999999999997E-2</v>
      </c>
    </row>
    <row r="6" spans="1:19" x14ac:dyDescent="0.2">
      <c r="A6" t="s">
        <v>8</v>
      </c>
      <c r="B6">
        <f>0.97632 * 0.01</f>
        <v>9.7631999999999997E-3</v>
      </c>
      <c r="C6">
        <f>1.12* 0.01</f>
        <v>1.1200000000000002E-2</v>
      </c>
      <c r="D6">
        <f>2.79444* 0.01</f>
        <v>2.7944399999999998E-2</v>
      </c>
      <c r="E6">
        <f>2.6329* 0.01</f>
        <v>2.6328999999999998E-2</v>
      </c>
      <c r="F6">
        <f>11.9714* 0.01</f>
        <v>0.11971399999999999</v>
      </c>
      <c r="G6">
        <f>2.2294* 0.01</f>
        <v>2.2294000000000001E-2</v>
      </c>
      <c r="H6">
        <f>0.3399* 0.01</f>
        <v>3.3989999999999997E-3</v>
      </c>
    </row>
    <row r="7" spans="1:19" x14ac:dyDescent="0.2">
      <c r="A7" t="s">
        <v>45</v>
      </c>
      <c r="B7">
        <f>15.1392 * 0.01</f>
        <v>0.151392</v>
      </c>
      <c r="C7">
        <f>2.40384 * 0.01</f>
        <v>2.4038400000000001E-2</v>
      </c>
      <c r="D7">
        <f>2.5137 * 0.01</f>
        <v>2.5137E-2</v>
      </c>
      <c r="E7">
        <f>2.40524 * 0.01</f>
        <v>2.4052400000000002E-2</v>
      </c>
      <c r="F7">
        <f>4.408 * 0.01</f>
        <v>4.4080000000000001E-2</v>
      </c>
      <c r="G7">
        <f>4.345 * 0.01</f>
        <v>4.3449999999999996E-2</v>
      </c>
      <c r="H7">
        <f>5.81 * 0.01</f>
        <v>5.8099999999999999E-2</v>
      </c>
      <c r="I7">
        <f>8.2688 * 0.01</f>
        <v>8.2688000000000011E-2</v>
      </c>
      <c r="J7">
        <f>4.2054 * 0.01</f>
        <v>4.2054000000000001E-2</v>
      </c>
      <c r="K7">
        <f>0.94058 * 0.01</f>
        <v>9.4058000000000006E-3</v>
      </c>
      <c r="L7">
        <f>3.8796 * 0.01</f>
        <v>3.8795999999999997E-2</v>
      </c>
    </row>
    <row r="8" spans="1:19" x14ac:dyDescent="0.2">
      <c r="A8" t="s">
        <v>46</v>
      </c>
      <c r="B8">
        <f>1.55617 *0.01</f>
        <v>1.5561700000000001E-2</v>
      </c>
      <c r="C8">
        <f>1.57488 *0.01</f>
        <v>1.57488E-2</v>
      </c>
      <c r="D8">
        <f>0.6076 *0.01</f>
        <v>6.0760000000000007E-3</v>
      </c>
      <c r="E8">
        <f>0.56776 *0.01</f>
        <v>5.6776000000000005E-3</v>
      </c>
      <c r="F8">
        <f>1.68 *0.01</f>
        <v>1.6799999999999999E-2</v>
      </c>
      <c r="G8">
        <f>2.3876 *0.01</f>
        <v>2.3876000000000001E-2</v>
      </c>
      <c r="H8">
        <f>0.97632 * 0.01</f>
        <v>9.7631999999999997E-3</v>
      </c>
      <c r="I8">
        <f>1.12* 0.01</f>
        <v>1.1200000000000002E-2</v>
      </c>
      <c r="J8">
        <f>2.79444* 0.01</f>
        <v>2.7944399999999998E-2</v>
      </c>
      <c r="K8">
        <f>2.6329* 0.01</f>
        <v>2.6328999999999998E-2</v>
      </c>
      <c r="L8">
        <f>11.9714* 0.01</f>
        <v>0.11971399999999999</v>
      </c>
      <c r="M8">
        <f>2.2294* 0.01</f>
        <v>2.2294000000000001E-2</v>
      </c>
      <c r="N8">
        <f>0.3399* 0.01</f>
        <v>3.3989999999999997E-3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361B-8C2D-3A4B-A5A1-E32E41228E5B}">
  <dimension ref="A1:G24"/>
  <sheetViews>
    <sheetView tabSelected="1" workbookViewId="0">
      <selection activeCell="B30" sqref="B30"/>
    </sheetView>
  </sheetViews>
  <sheetFormatPr baseColWidth="10" defaultRowHeight="16" x14ac:dyDescent="0.2"/>
  <cols>
    <col min="1" max="1" width="47.5" bestFit="1" customWidth="1"/>
    <col min="2" max="2" width="12.1640625" bestFit="1" customWidth="1"/>
    <col min="4" max="5" width="12.1640625" bestFit="1" customWidth="1"/>
    <col min="6" max="6" width="11.1640625" bestFit="1" customWidth="1"/>
  </cols>
  <sheetData>
    <row r="1" spans="1:7" x14ac:dyDescent="0.2">
      <c r="A1" s="1" t="s">
        <v>0</v>
      </c>
    </row>
    <row r="3" spans="1:7" x14ac:dyDescent="0.2">
      <c r="A3" s="1" t="s">
        <v>40</v>
      </c>
    </row>
    <row r="4" spans="1:7" x14ac:dyDescent="0.2">
      <c r="A4" t="s">
        <v>7</v>
      </c>
      <c r="B4">
        <f>0.153252 *0.01</f>
        <v>1.5325200000000001E-3</v>
      </c>
      <c r="C4">
        <f>0.024704 *0.01</f>
        <v>2.4704000000000002E-4</v>
      </c>
      <c r="D4">
        <f>1.45235 *0.01</f>
        <v>1.45235E-2</v>
      </c>
      <c r="E4">
        <f>0.092872 *0.01</f>
        <v>9.2871999999999996E-4</v>
      </c>
      <c r="F4">
        <f>0.65632 *0.01</f>
        <v>6.5631999999999999E-3</v>
      </c>
      <c r="G4">
        <f>0.53594 *0.01</f>
        <v>5.3593999999999994E-3</v>
      </c>
    </row>
    <row r="5" spans="1:7" x14ac:dyDescent="0.2">
      <c r="A5" t="s">
        <v>38</v>
      </c>
      <c r="B5">
        <f>0.26751 *0.01</f>
        <v>2.6751000000000001E-3</v>
      </c>
      <c r="C5">
        <f>1.06148 *0.01</f>
        <v>1.0614800000000001E-2</v>
      </c>
      <c r="D5">
        <f>1.6287 *0.01</f>
        <v>1.6286999999999999E-2</v>
      </c>
      <c r="E5">
        <f>0.305691 *0.01</f>
        <v>3.0569099999999999E-3</v>
      </c>
    </row>
    <row r="6" spans="1:7" x14ac:dyDescent="0.2">
      <c r="A6" t="s">
        <v>39</v>
      </c>
      <c r="B6">
        <f>0.26496 *0.01</f>
        <v>2.6495999999999998E-3</v>
      </c>
      <c r="C6">
        <f>4.6512 *0.01</f>
        <v>4.6512000000000005E-2</v>
      </c>
      <c r="D6">
        <f>2.5591 *0.01</f>
        <v>2.5590999999999999E-2</v>
      </c>
      <c r="E6">
        <f>0.252018 *0.01</f>
        <v>2.5201800000000003E-3</v>
      </c>
    </row>
    <row r="9" spans="1:7" x14ac:dyDescent="0.2">
      <c r="A9" s="1" t="s">
        <v>11</v>
      </c>
    </row>
    <row r="10" spans="1:7" x14ac:dyDescent="0.2">
      <c r="A10" t="s">
        <v>7</v>
      </c>
      <c r="B10">
        <f>1.55617 *0.01</f>
        <v>1.5561700000000001E-2</v>
      </c>
      <c r="C10">
        <f>1.57488 *0.01</f>
        <v>1.57488E-2</v>
      </c>
      <c r="D10">
        <f>0.6076 *0.01</f>
        <v>6.0760000000000007E-3</v>
      </c>
      <c r="E10">
        <f>0.56776 *0.01</f>
        <v>5.6776000000000005E-3</v>
      </c>
      <c r="F10">
        <f>1.68 *0.01</f>
        <v>1.6799999999999999E-2</v>
      </c>
      <c r="G10">
        <f>2.3876 *0.01</f>
        <v>2.3876000000000001E-2</v>
      </c>
    </row>
    <row r="11" spans="1:7" x14ac:dyDescent="0.2">
      <c r="A11" t="s">
        <v>38</v>
      </c>
      <c r="B11">
        <f>0.93267 *0.01</f>
        <v>9.3267000000000003E-3</v>
      </c>
      <c r="C11">
        <f>3.05064 *0.01</f>
        <v>3.0506399999999999E-2</v>
      </c>
      <c r="D11">
        <f>1.6287 *0.01</f>
        <v>1.6286999999999999E-2</v>
      </c>
      <c r="E11">
        <f>0.81282 *0.01</f>
        <v>8.1282000000000004E-3</v>
      </c>
    </row>
    <row r="12" spans="1:7" x14ac:dyDescent="0.2">
      <c r="A12" t="s">
        <v>39</v>
      </c>
      <c r="B12">
        <f>0.97632 *0.01</f>
        <v>9.7631999999999997E-3</v>
      </c>
      <c r="C12">
        <f>8.2688 *0.01</f>
        <v>8.2688000000000011E-2</v>
      </c>
      <c r="D12">
        <f>4.2054 *0.01</f>
        <v>4.2054000000000001E-2</v>
      </c>
      <c r="E12">
        <f>0.94058 *0.01</f>
        <v>9.4058000000000006E-3</v>
      </c>
    </row>
    <row r="15" spans="1:7" x14ac:dyDescent="0.2">
      <c r="A15" s="1" t="s">
        <v>12</v>
      </c>
    </row>
    <row r="16" spans="1:7" x14ac:dyDescent="0.2">
      <c r="A16" t="s">
        <v>7</v>
      </c>
      <c r="B16">
        <f>0.123404281 *0.01</f>
        <v>1.2340428100000001E-3</v>
      </c>
      <c r="C16">
        <f>0.021890832 *0.01</f>
        <v>2.1890831999999999E-4</v>
      </c>
      <c r="D16">
        <f>0.0966084 *0.01</f>
        <v>9.6608399999999997E-4</v>
      </c>
      <c r="E16">
        <f>0.04911124 *0.01</f>
        <v>4.9111240000000007E-4</v>
      </c>
      <c r="F16">
        <f>0.142296 *0.01</f>
        <v>1.42296E-3</v>
      </c>
      <c r="G16">
        <f>0.17859248 *0.01</f>
        <v>1.7859248E-3</v>
      </c>
    </row>
    <row r="17" spans="1:7" x14ac:dyDescent="0.2">
      <c r="A17" t="s">
        <v>38</v>
      </c>
      <c r="B17">
        <f>0.08188426 *0.01</f>
        <v>8.1884260000000006E-4</v>
      </c>
      <c r="C17">
        <f>0.223306848 *0.01</f>
        <v>2.2330684800000002E-3</v>
      </c>
      <c r="D17">
        <f>0.3794871 *0.01</f>
        <v>3.7948710000000004E-3</v>
      </c>
      <c r="E17">
        <f>0.16744092 *0.01</f>
        <v>1.6744092E-3</v>
      </c>
    </row>
    <row r="18" spans="1:7" x14ac:dyDescent="0.2">
      <c r="A18" t="s">
        <v>39</v>
      </c>
      <c r="B18">
        <f>0.07615296 *0.01</f>
        <v>7.6152960000000003E-4</v>
      </c>
      <c r="C18">
        <f>1.6702976 *0.01</f>
        <v>1.6702976000000001E-2</v>
      </c>
      <c r="D18">
        <f>0.7695882 *0.01</f>
        <v>7.6958819999999994E-3</v>
      </c>
      <c r="E18">
        <f>0.16554208 *0.01</f>
        <v>1.6554208000000002E-3</v>
      </c>
    </row>
    <row r="21" spans="1:7" x14ac:dyDescent="0.2">
      <c r="A21" s="1" t="s">
        <v>41</v>
      </c>
    </row>
    <row r="22" spans="1:7" x14ac:dyDescent="0.2">
      <c r="A22" t="s">
        <v>7</v>
      </c>
      <c r="B22">
        <f>0.000560221 *0.01</f>
        <v>5.6022099999999993E-6</v>
      </c>
      <c r="C22">
        <v>0</v>
      </c>
      <c r="D22">
        <f>0.00741272 *0.01</f>
        <v>7.4127200000000004E-5</v>
      </c>
      <c r="E22">
        <v>0</v>
      </c>
      <c r="F22">
        <f>0.005712 *0.01</f>
        <v>5.7120000000000002E-5</v>
      </c>
      <c r="G22">
        <v>0</v>
      </c>
    </row>
    <row r="23" spans="1:7" x14ac:dyDescent="0.2">
      <c r="A23" t="s">
        <v>38</v>
      </c>
      <c r="B23">
        <f>0.022757148 *0.01</f>
        <v>2.2757148000000001E-4</v>
      </c>
      <c r="C23">
        <f>0.023184864 *0.01</f>
        <v>2.3184864000000001E-4</v>
      </c>
      <c r="D23">
        <f>0</f>
        <v>0</v>
      </c>
      <c r="E23">
        <f>0.002926152 *0.01</f>
        <v>2.9261519999999999E-5</v>
      </c>
    </row>
    <row r="24" spans="1:7" x14ac:dyDescent="0.2">
      <c r="A24" t="s">
        <v>39</v>
      </c>
      <c r="B24">
        <f>0.2099088 *0.01</f>
        <v>2.0990880000000003E-3</v>
      </c>
      <c r="C24">
        <f>0.4178624 *0.01</f>
        <v>4.1786240000000006E-3</v>
      </c>
      <c r="D24">
        <f>0.002228862 *0.01</f>
        <v>2.228862E-5</v>
      </c>
      <c r="E24">
        <f>0.001504928 *0.01</f>
        <v>1.504928E-5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0D72-7871-CC4C-B728-812CC0998AA5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23" customWidth="1"/>
  </cols>
  <sheetData>
    <row r="1" spans="1:19" x14ac:dyDescent="0.2">
      <c r="A1" s="1" t="s">
        <v>0</v>
      </c>
    </row>
    <row r="3" spans="1:19" x14ac:dyDescent="0.2">
      <c r="A3" s="1" t="s">
        <v>6</v>
      </c>
    </row>
    <row r="4" spans="1:19" x14ac:dyDescent="0.2">
      <c r="A4" t="s">
        <v>7</v>
      </c>
      <c r="B4">
        <f>4.73 * 0.01</f>
        <v>4.7300000000000009E-2</v>
      </c>
      <c r="C4">
        <f>7.72 * 0.01</f>
        <v>7.7200000000000005E-2</v>
      </c>
      <c r="D4">
        <f>15.5 * 0.01</f>
        <v>0.155</v>
      </c>
      <c r="E4">
        <f>1.88 * 0.01</f>
        <v>1.8800000000000001E-2</v>
      </c>
      <c r="F4">
        <f>11.2 * 0.01</f>
        <v>0.11199999999999999</v>
      </c>
      <c r="G4">
        <f>12.7  * 0.01</f>
        <v>0.127</v>
      </c>
    </row>
    <row r="5" spans="1:19" x14ac:dyDescent="0.2">
      <c r="A5" t="s">
        <v>42</v>
      </c>
      <c r="B5">
        <f>14.4 * 0.01</f>
        <v>0.14400000000000002</v>
      </c>
      <c r="C5">
        <f>10 * 0.01</f>
        <v>0.1</v>
      </c>
      <c r="D5">
        <f>8.76 * 0.01</f>
        <v>8.7599999999999997E-2</v>
      </c>
      <c r="E5">
        <f>11.3 * 0.01</f>
        <v>0.113</v>
      </c>
      <c r="F5">
        <f>23.8 * 0.01</f>
        <v>0.23800000000000002</v>
      </c>
      <c r="G5">
        <f>7.1 * 0.01</f>
        <v>7.0999999999999994E-2</v>
      </c>
      <c r="H5">
        <f>10.3 * 0.01</f>
        <v>0.10300000000000001</v>
      </c>
      <c r="I5">
        <f>24.9 * 0.01</f>
        <v>0.249</v>
      </c>
      <c r="J5">
        <f>9.39 * 0.01</f>
        <v>9.3900000000000011E-2</v>
      </c>
      <c r="K5">
        <f>13.3 * 0.01</f>
        <v>0.13300000000000001</v>
      </c>
      <c r="L5">
        <f>7.66 * 0.01</f>
        <v>7.6600000000000001E-2</v>
      </c>
      <c r="M5">
        <f>19 * 0.01</f>
        <v>0.19</v>
      </c>
      <c r="N5">
        <f>15.8 * 0.01</f>
        <v>0.158</v>
      </c>
      <c r="O5">
        <f>17.5 * 0.01</f>
        <v>0.17500000000000002</v>
      </c>
      <c r="P5">
        <f>32.3 * 0.01</f>
        <v>0.32299999999999995</v>
      </c>
      <c r="Q5">
        <f>16.3 * 0.01</f>
        <v>0.16300000000000001</v>
      </c>
      <c r="R5">
        <f>7.18 * 0.01</f>
        <v>7.1800000000000003E-2</v>
      </c>
      <c r="S5">
        <f>12.2 * 0.01</f>
        <v>0.122</v>
      </c>
    </row>
    <row r="6" spans="1:19" x14ac:dyDescent="0.2">
      <c r="A6" t="s">
        <v>8</v>
      </c>
      <c r="B6">
        <f>14.4 * 0.01</f>
        <v>0.14400000000000002</v>
      </c>
      <c r="C6">
        <f>10 * 0.01</f>
        <v>0.1</v>
      </c>
      <c r="D6">
        <f>8.76 * 0.01</f>
        <v>8.7599999999999997E-2</v>
      </c>
      <c r="E6">
        <f>11.3 * 0.01</f>
        <v>0.113</v>
      </c>
      <c r="F6">
        <f>23.8 * 0.01</f>
        <v>0.23800000000000002</v>
      </c>
      <c r="G6">
        <f>7.1 * 0.01</f>
        <v>7.0999999999999994E-2</v>
      </c>
      <c r="H6">
        <f>10.3 * 0.01</f>
        <v>0.10300000000000001</v>
      </c>
    </row>
    <row r="7" spans="1:19" x14ac:dyDescent="0.2">
      <c r="A7" t="s">
        <v>45</v>
      </c>
      <c r="B7">
        <f>24.9 * 0.01</f>
        <v>0.249</v>
      </c>
      <c r="C7">
        <f>9.39 * 0.01</f>
        <v>9.3900000000000011E-2</v>
      </c>
      <c r="D7">
        <f>13.3 * 0.01</f>
        <v>0.13300000000000001</v>
      </c>
      <c r="E7">
        <f>7.66 * 0.01</f>
        <v>7.6600000000000001E-2</v>
      </c>
      <c r="F7">
        <f>19 * 0.01</f>
        <v>0.19</v>
      </c>
      <c r="G7">
        <f>15.8 * 0.01</f>
        <v>0.158</v>
      </c>
      <c r="H7">
        <f>17.5 * 0.01</f>
        <v>0.17500000000000002</v>
      </c>
      <c r="I7">
        <f>32.3 * 0.01</f>
        <v>0.32299999999999995</v>
      </c>
      <c r="J7">
        <f>16.3 * 0.01</f>
        <v>0.16300000000000001</v>
      </c>
      <c r="K7">
        <f>7.18 * 0.01</f>
        <v>7.1800000000000003E-2</v>
      </c>
      <c r="L7">
        <f>12.2 * 0.01</f>
        <v>0.122</v>
      </c>
    </row>
    <row r="8" spans="1:19" x14ac:dyDescent="0.2">
      <c r="A8" t="s">
        <v>46</v>
      </c>
      <c r="B8">
        <f>4.73 * 0.01</f>
        <v>4.7300000000000009E-2</v>
      </c>
      <c r="C8">
        <f>7.72 * 0.01</f>
        <v>7.7200000000000005E-2</v>
      </c>
      <c r="D8">
        <f>15.5 * 0.01</f>
        <v>0.155</v>
      </c>
      <c r="E8">
        <f>1.88 * 0.01</f>
        <v>1.8800000000000001E-2</v>
      </c>
      <c r="F8">
        <f>11.2 * 0.01</f>
        <v>0.11199999999999999</v>
      </c>
      <c r="G8">
        <f>12.7  * 0.01</f>
        <v>0.127</v>
      </c>
      <c r="H8">
        <f>14.4 * 0.01</f>
        <v>0.14400000000000002</v>
      </c>
      <c r="I8">
        <f>10 * 0.01</f>
        <v>0.1</v>
      </c>
      <c r="J8">
        <f>8.76 * 0.01</f>
        <v>8.7599999999999997E-2</v>
      </c>
      <c r="K8">
        <f>11.3 * 0.01</f>
        <v>0.113</v>
      </c>
      <c r="L8">
        <f>23.8 * 0.01</f>
        <v>0.23800000000000002</v>
      </c>
      <c r="M8">
        <f>7.1 * 0.01</f>
        <v>7.0999999999999994E-2</v>
      </c>
      <c r="N8">
        <f>10.3 * 0.01</f>
        <v>0.10300000000000001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C7A9-6881-CA47-83E3-53900E516CF6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21.83203125" customWidth="1"/>
  </cols>
  <sheetData>
    <row r="1" spans="1:19" x14ac:dyDescent="0.2">
      <c r="A1" s="1" t="s">
        <v>0</v>
      </c>
    </row>
    <row r="3" spans="1:19" x14ac:dyDescent="0.2">
      <c r="A3" s="1" t="s">
        <v>9</v>
      </c>
    </row>
    <row r="4" spans="1:19" x14ac:dyDescent="0.2">
      <c r="A4" t="s">
        <v>7</v>
      </c>
      <c r="B4">
        <f>13.1 * 0.01</f>
        <v>0.13100000000000001</v>
      </c>
      <c r="C4">
        <f>12.8* 0.01</f>
        <v>0.128</v>
      </c>
      <c r="D4">
        <f>7.26* 0.01</f>
        <v>7.2599999999999998E-2</v>
      </c>
      <c r="E4">
        <f>3.66* 0.01</f>
        <v>3.6600000000000001E-2</v>
      </c>
      <c r="F4">
        <f>7.52* 0.01</f>
        <v>7.5200000000000003E-2</v>
      </c>
      <c r="G4">
        <f>8.73* 0.01</f>
        <v>8.7300000000000003E-2</v>
      </c>
    </row>
    <row r="5" spans="1:19" x14ac:dyDescent="0.2">
      <c r="A5" t="s">
        <v>42</v>
      </c>
      <c r="B5">
        <f>5.88 * 0.01</f>
        <v>5.8799999999999998E-2</v>
      </c>
      <c r="C5">
        <f>5.77 * 0.01</f>
        <v>5.7699999999999994E-2</v>
      </c>
      <c r="D5">
        <f>18.6 * 0.01</f>
        <v>0.18600000000000003</v>
      </c>
      <c r="E5">
        <f>15.4 * 0.01</f>
        <v>0.154</v>
      </c>
      <c r="F5">
        <f>31.9 * 0.01</f>
        <v>0.31900000000000001</v>
      </c>
      <c r="G5">
        <f>8.48 * 0.01</f>
        <v>8.48E-2</v>
      </c>
      <c r="H5">
        <f>6.9 * 0.01</f>
        <v>6.9000000000000006E-2</v>
      </c>
      <c r="I5">
        <f>33.5 * 0.01</f>
        <v>0.33500000000000002</v>
      </c>
      <c r="J5">
        <f>13.2 * 0.01</f>
        <v>0.13200000000000001</v>
      </c>
      <c r="K5">
        <f>15.6 * 0.01</f>
        <v>0.156</v>
      </c>
      <c r="L5">
        <f>14 * 0.01</f>
        <v>0.14000000000000001</v>
      </c>
      <c r="M5">
        <f>18.4 * 0.01</f>
        <v>0.184</v>
      </c>
      <c r="N5">
        <f>15.8 * 0.01</f>
        <v>0.158</v>
      </c>
      <c r="O5">
        <f>20.8 * 0.01</f>
        <v>0.20800000000000002</v>
      </c>
      <c r="P5">
        <f>32.5 * 0.01</f>
        <v>0.32500000000000001</v>
      </c>
      <c r="Q5">
        <f>27.8 * 0.01</f>
        <v>0.27800000000000002</v>
      </c>
      <c r="R5">
        <f>3.88 * 0.01</f>
        <v>3.8800000000000001E-2</v>
      </c>
      <c r="S5">
        <f>19.5 * 0.01</f>
        <v>0.19500000000000001</v>
      </c>
    </row>
    <row r="6" spans="1:19" x14ac:dyDescent="0.2">
      <c r="A6" t="s">
        <v>8</v>
      </c>
      <c r="B6">
        <f>5.88 * 0.01</f>
        <v>5.8799999999999998E-2</v>
      </c>
      <c r="C6">
        <f>5.77 * 0.01</f>
        <v>5.7699999999999994E-2</v>
      </c>
      <c r="D6">
        <f>18.6 * 0.01</f>
        <v>0.18600000000000003</v>
      </c>
      <c r="E6">
        <f>15.4 * 0.01</f>
        <v>0.154</v>
      </c>
      <c r="F6">
        <f>31.9 * 0.01</f>
        <v>0.31900000000000001</v>
      </c>
      <c r="G6">
        <f>8.48 * 0.01</f>
        <v>8.48E-2</v>
      </c>
      <c r="H6">
        <f>6.9 * 0.01</f>
        <v>6.9000000000000006E-2</v>
      </c>
    </row>
    <row r="7" spans="1:19" x14ac:dyDescent="0.2">
      <c r="A7" t="s">
        <v>45</v>
      </c>
      <c r="B7">
        <f>33.5 * 0.01</f>
        <v>0.33500000000000002</v>
      </c>
      <c r="C7">
        <f>13.2 * 0.01</f>
        <v>0.13200000000000001</v>
      </c>
      <c r="D7">
        <f>15.6 * 0.01</f>
        <v>0.156</v>
      </c>
      <c r="E7">
        <f>14 * 0.01</f>
        <v>0.14000000000000001</v>
      </c>
      <c r="F7">
        <f>18.4 * 0.01</f>
        <v>0.184</v>
      </c>
      <c r="G7">
        <f>15.8 * 0.01</f>
        <v>0.158</v>
      </c>
      <c r="H7">
        <f>20.8 * 0.01</f>
        <v>0.20800000000000002</v>
      </c>
      <c r="I7">
        <f>32.5 * 0.01</f>
        <v>0.32500000000000001</v>
      </c>
      <c r="J7">
        <f>27.8 * 0.01</f>
        <v>0.27800000000000002</v>
      </c>
      <c r="K7">
        <f>3.88 * 0.01</f>
        <v>3.8800000000000001E-2</v>
      </c>
      <c r="L7">
        <f>19.5 * 0.01</f>
        <v>0.19500000000000001</v>
      </c>
    </row>
    <row r="8" spans="1:19" x14ac:dyDescent="0.2">
      <c r="A8" t="s">
        <v>46</v>
      </c>
      <c r="B8">
        <f>13.1 * 0.01</f>
        <v>0.13100000000000001</v>
      </c>
      <c r="C8">
        <f>12.8* 0.01</f>
        <v>0.128</v>
      </c>
      <c r="D8">
        <f>7.26* 0.01</f>
        <v>7.2599999999999998E-2</v>
      </c>
      <c r="E8">
        <f>3.66* 0.01</f>
        <v>3.6600000000000001E-2</v>
      </c>
      <c r="F8">
        <f>7.52* 0.01</f>
        <v>7.5200000000000003E-2</v>
      </c>
      <c r="G8">
        <f>8.73* 0.01</f>
        <v>8.7300000000000003E-2</v>
      </c>
      <c r="H8">
        <f>5.88 * 0.01</f>
        <v>5.8799999999999998E-2</v>
      </c>
      <c r="I8">
        <f>5.77 * 0.01</f>
        <v>5.7699999999999994E-2</v>
      </c>
      <c r="J8">
        <f>18.6 * 0.01</f>
        <v>0.18600000000000003</v>
      </c>
      <c r="K8">
        <f>15.4 * 0.01</f>
        <v>0.154</v>
      </c>
      <c r="L8">
        <f>31.9 * 0.01</f>
        <v>0.31900000000000001</v>
      </c>
      <c r="M8">
        <f>8.48 * 0.01</f>
        <v>8.48E-2</v>
      </c>
      <c r="N8">
        <f>6.9 * 0.01</f>
        <v>6.9000000000000006E-2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E89B-1E1E-B440-94C6-FCE941F940AF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22.6640625" customWidth="1"/>
  </cols>
  <sheetData>
    <row r="1" spans="1:19" x14ac:dyDescent="0.2">
      <c r="A1" s="1" t="s">
        <v>0</v>
      </c>
    </row>
    <row r="3" spans="1:19" x14ac:dyDescent="0.2">
      <c r="A3" s="1" t="s">
        <v>10</v>
      </c>
    </row>
    <row r="4" spans="1:19" x14ac:dyDescent="0.2">
      <c r="A4" t="s">
        <v>7</v>
      </c>
      <c r="B4">
        <f>0.27 *0.01</f>
        <v>2.7000000000000001E-3</v>
      </c>
      <c r="C4">
        <f>0.11*0.01</f>
        <v>1.1000000000000001E-3</v>
      </c>
      <c r="D4">
        <f>2.22*0.01</f>
        <v>2.2200000000000001E-2</v>
      </c>
      <c r="E4">
        <f>0.45*0.01</f>
        <v>4.5000000000000005E-3</v>
      </c>
      <c r="F4">
        <f>1.41*0.01</f>
        <v>1.41E-2</v>
      </c>
      <c r="G4">
        <f>1.69*0.01</f>
        <v>1.6899999999999998E-2</v>
      </c>
    </row>
    <row r="5" spans="1:19" x14ac:dyDescent="0.2">
      <c r="A5" t="s">
        <v>42</v>
      </c>
      <c r="B5">
        <f>0.69 *0.01</f>
        <v>6.8999999999999999E-3</v>
      </c>
      <c r="C5">
        <f>0.41 *0.01</f>
        <v>4.0999999999999995E-3</v>
      </c>
      <c r="D5">
        <f>2.13 *0.01</f>
        <v>2.1299999999999999E-2</v>
      </c>
      <c r="E5">
        <f>1.71 *0.01</f>
        <v>1.7100000000000001E-2</v>
      </c>
      <c r="F5">
        <f>7.35 *0.01</f>
        <v>7.3499999999999996E-2</v>
      </c>
      <c r="G5">
        <f>1.05 *0.01</f>
        <v>1.0500000000000001E-2</v>
      </c>
      <c r="H5">
        <f>0.28 *0.01</f>
        <v>2.8000000000000004E-3</v>
      </c>
      <c r="I5">
        <f>0.91 * 0.01</f>
        <v>9.1000000000000004E-3</v>
      </c>
      <c r="J5">
        <f>0.89 * 0.01</f>
        <v>8.8999999999999999E-3</v>
      </c>
      <c r="K5">
        <f>1.94 * 0.01</f>
        <v>1.9400000000000001E-2</v>
      </c>
      <c r="L5">
        <f>2.58 * 0.01</f>
        <v>2.58E-2</v>
      </c>
      <c r="M5">
        <f>2.42 * 0.01</f>
        <v>2.4199999999999999E-2</v>
      </c>
      <c r="N5">
        <f>2.52 * 0.01</f>
        <v>2.52E-2</v>
      </c>
      <c r="O5">
        <f>2.09 * 0.01</f>
        <v>2.0899999999999998E-2</v>
      </c>
      <c r="P5">
        <f>6.9 * 0.01</f>
        <v>6.9000000000000006E-2</v>
      </c>
      <c r="Q5">
        <f>3.96 * 0.01</f>
        <v>3.9600000000000003E-2</v>
      </c>
      <c r="R5">
        <f>0.67 * 0.01</f>
        <v>6.7000000000000002E-3</v>
      </c>
      <c r="S5">
        <f>1.26 * 0.01</f>
        <v>1.26E-2</v>
      </c>
    </row>
    <row r="6" spans="1:19" x14ac:dyDescent="0.2">
      <c r="A6" t="s">
        <v>8</v>
      </c>
      <c r="B6">
        <f>0.69 *0.01</f>
        <v>6.8999999999999999E-3</v>
      </c>
      <c r="C6">
        <f>0.41 *0.01</f>
        <v>4.0999999999999995E-3</v>
      </c>
      <c r="D6">
        <f>2.13 *0.01</f>
        <v>2.1299999999999999E-2</v>
      </c>
      <c r="E6">
        <f>1.71 *0.01</f>
        <v>1.7100000000000001E-2</v>
      </c>
      <c r="F6">
        <f>7.35 *0.01</f>
        <v>7.3499999999999996E-2</v>
      </c>
      <c r="G6">
        <f>1.05 *0.01</f>
        <v>1.0500000000000001E-2</v>
      </c>
      <c r="H6">
        <f>0.28 *0.01</f>
        <v>2.8000000000000004E-3</v>
      </c>
    </row>
    <row r="7" spans="1:19" x14ac:dyDescent="0.2">
      <c r="A7" t="s">
        <v>45</v>
      </c>
      <c r="B7">
        <f>0.91 * 0.01</f>
        <v>9.1000000000000004E-3</v>
      </c>
      <c r="C7">
        <f>0.89 * 0.01</f>
        <v>8.8999999999999999E-3</v>
      </c>
      <c r="D7">
        <f>1.94 * 0.01</f>
        <v>1.9400000000000001E-2</v>
      </c>
      <c r="E7">
        <f>2.58 * 0.01</f>
        <v>2.58E-2</v>
      </c>
      <c r="F7">
        <f>2.42 * 0.01</f>
        <v>2.4199999999999999E-2</v>
      </c>
      <c r="G7">
        <f>2.52 * 0.01</f>
        <v>2.52E-2</v>
      </c>
      <c r="H7">
        <f>2.09 * 0.01</f>
        <v>2.0899999999999998E-2</v>
      </c>
      <c r="I7">
        <f>6.9 * 0.01</f>
        <v>6.9000000000000006E-2</v>
      </c>
      <c r="J7">
        <f>3.96 * 0.01</f>
        <v>3.9600000000000003E-2</v>
      </c>
      <c r="K7">
        <f>0.67 * 0.01</f>
        <v>6.7000000000000002E-3</v>
      </c>
      <c r="L7">
        <f>1.26 * 0.01</f>
        <v>1.26E-2</v>
      </c>
    </row>
    <row r="8" spans="1:19" x14ac:dyDescent="0.2">
      <c r="A8" t="s">
        <v>46</v>
      </c>
      <c r="B8">
        <f>0.27 *0.01</f>
        <v>2.7000000000000001E-3</v>
      </c>
      <c r="C8">
        <f>0.11*0.01</f>
        <v>1.1000000000000001E-3</v>
      </c>
      <c r="D8">
        <f>2.22*0.01</f>
        <v>2.2200000000000001E-2</v>
      </c>
      <c r="E8">
        <f>0.45*0.01</f>
        <v>4.5000000000000005E-3</v>
      </c>
      <c r="F8">
        <f>1.41*0.01</f>
        <v>1.41E-2</v>
      </c>
      <c r="G8">
        <f>1.69*0.01</f>
        <v>1.6899999999999998E-2</v>
      </c>
      <c r="H8">
        <f>0.69 *0.01</f>
        <v>6.8999999999999999E-3</v>
      </c>
      <c r="I8">
        <f>0.41 *0.01</f>
        <v>4.0999999999999995E-3</v>
      </c>
      <c r="J8">
        <f>2.13 *0.01</f>
        <v>2.1299999999999999E-2</v>
      </c>
      <c r="K8">
        <f>1.71 *0.01</f>
        <v>1.7100000000000001E-2</v>
      </c>
      <c r="L8">
        <f>7.35 *0.01</f>
        <v>7.3499999999999996E-2</v>
      </c>
      <c r="M8">
        <f>1.05 *0.01</f>
        <v>1.0500000000000001E-2</v>
      </c>
      <c r="N8">
        <f>0.28 *0.01</f>
        <v>2.8000000000000004E-3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0A90-49BC-5D44-A2F5-AE1A01FCF9B3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31.1640625" customWidth="1"/>
  </cols>
  <sheetData>
    <row r="1" spans="1:19" x14ac:dyDescent="0.2">
      <c r="A1" s="1" t="s">
        <v>0</v>
      </c>
    </row>
    <row r="3" spans="1:19" x14ac:dyDescent="0.2">
      <c r="A3" s="1" t="s">
        <v>11</v>
      </c>
    </row>
    <row r="4" spans="1:19" x14ac:dyDescent="0.2">
      <c r="A4" t="s">
        <v>7</v>
      </c>
      <c r="B4">
        <f>1.55617 *0.01</f>
        <v>1.5561700000000001E-2</v>
      </c>
      <c r="C4">
        <f>1.57488 *0.01</f>
        <v>1.57488E-2</v>
      </c>
      <c r="D4">
        <f>0.6076 *0.01</f>
        <v>6.0760000000000007E-3</v>
      </c>
      <c r="E4">
        <f>0.56776 *0.01</f>
        <v>5.6776000000000005E-3</v>
      </c>
      <c r="F4">
        <f>1.68 *0.01</f>
        <v>1.6799999999999999E-2</v>
      </c>
      <c r="G4">
        <f>2.3876 *0.01</f>
        <v>2.3876000000000001E-2</v>
      </c>
    </row>
    <row r="5" spans="1:19" x14ac:dyDescent="0.2">
      <c r="A5" t="s">
        <v>42</v>
      </c>
      <c r="B5">
        <f>0.97632 * 0.01</f>
        <v>9.7631999999999997E-3</v>
      </c>
      <c r="C5">
        <f>1.12* 0.01</f>
        <v>1.1200000000000002E-2</v>
      </c>
      <c r="D5">
        <f>2.79444* 0.01</f>
        <v>2.7944399999999998E-2</v>
      </c>
      <c r="E5">
        <f>2.6329* 0.01</f>
        <v>2.6328999999999998E-2</v>
      </c>
      <c r="F5">
        <f>11.9714* 0.01</f>
        <v>0.11971399999999999</v>
      </c>
      <c r="G5">
        <f>2.2294* 0.01</f>
        <v>2.2294000000000001E-2</v>
      </c>
      <c r="H5">
        <f>0.3399* 0.01</f>
        <v>3.3989999999999997E-3</v>
      </c>
      <c r="I5">
        <f>15.1392 * 0.01</f>
        <v>0.151392</v>
      </c>
      <c r="J5">
        <f>2.40384 * 0.01</f>
        <v>2.4038400000000001E-2</v>
      </c>
      <c r="K5">
        <f>2.5137 * 0.01</f>
        <v>2.5137E-2</v>
      </c>
      <c r="L5">
        <f>2.40524 * 0.01</f>
        <v>2.4052400000000002E-2</v>
      </c>
      <c r="M5">
        <f>4.408 * 0.01</f>
        <v>4.4080000000000001E-2</v>
      </c>
      <c r="N5">
        <f>4.345 * 0.01</f>
        <v>4.3449999999999996E-2</v>
      </c>
      <c r="O5">
        <f>5.81 * 0.01</f>
        <v>5.8099999999999999E-2</v>
      </c>
      <c r="P5">
        <f>8.2688 * 0.01</f>
        <v>8.2688000000000011E-2</v>
      </c>
      <c r="Q5">
        <f>4.2054 * 0.01</f>
        <v>4.2054000000000001E-2</v>
      </c>
      <c r="R5">
        <f>0.94058 * 0.01</f>
        <v>9.4058000000000006E-3</v>
      </c>
      <c r="S5">
        <f>3.8796 * 0.01</f>
        <v>3.8795999999999997E-2</v>
      </c>
    </row>
    <row r="6" spans="1:19" x14ac:dyDescent="0.2">
      <c r="A6" t="s">
        <v>8</v>
      </c>
      <c r="B6">
        <f>0.97632 * 0.01</f>
        <v>9.7631999999999997E-3</v>
      </c>
      <c r="C6">
        <f>1.12* 0.01</f>
        <v>1.1200000000000002E-2</v>
      </c>
      <c r="D6">
        <f>2.79444* 0.01</f>
        <v>2.7944399999999998E-2</v>
      </c>
      <c r="E6">
        <f>2.6329* 0.01</f>
        <v>2.6328999999999998E-2</v>
      </c>
      <c r="F6">
        <f>11.9714* 0.01</f>
        <v>0.11971399999999999</v>
      </c>
      <c r="G6">
        <f>2.2294* 0.01</f>
        <v>2.2294000000000001E-2</v>
      </c>
      <c r="H6">
        <f>0.3399* 0.01</f>
        <v>3.3989999999999997E-3</v>
      </c>
    </row>
    <row r="7" spans="1:19" x14ac:dyDescent="0.2">
      <c r="A7" t="s">
        <v>45</v>
      </c>
      <c r="B7">
        <f>15.1392 * 0.01</f>
        <v>0.151392</v>
      </c>
      <c r="C7">
        <f>2.40384 * 0.01</f>
        <v>2.4038400000000001E-2</v>
      </c>
      <c r="D7">
        <f>2.5137 * 0.01</f>
        <v>2.5137E-2</v>
      </c>
      <c r="E7">
        <f>2.40524 * 0.01</f>
        <v>2.4052400000000002E-2</v>
      </c>
      <c r="F7">
        <f>4.408 * 0.01</f>
        <v>4.4080000000000001E-2</v>
      </c>
      <c r="G7">
        <f>4.345 * 0.01</f>
        <v>4.3449999999999996E-2</v>
      </c>
      <c r="H7">
        <f>5.81 * 0.01</f>
        <v>5.8099999999999999E-2</v>
      </c>
      <c r="I7">
        <f>8.2688 * 0.01</f>
        <v>8.2688000000000011E-2</v>
      </c>
      <c r="J7">
        <f>4.2054 * 0.01</f>
        <v>4.2054000000000001E-2</v>
      </c>
      <c r="K7">
        <f>0.94058 * 0.01</f>
        <v>9.4058000000000006E-3</v>
      </c>
      <c r="L7">
        <f>3.8796 * 0.01</f>
        <v>3.8795999999999997E-2</v>
      </c>
    </row>
    <row r="8" spans="1:19" x14ac:dyDescent="0.2">
      <c r="A8" t="s">
        <v>46</v>
      </c>
      <c r="B8">
        <f>1.55617 *0.01</f>
        <v>1.5561700000000001E-2</v>
      </c>
      <c r="C8">
        <f>1.57488 *0.01</f>
        <v>1.57488E-2</v>
      </c>
      <c r="D8">
        <f>0.6076 *0.01</f>
        <v>6.0760000000000007E-3</v>
      </c>
      <c r="E8">
        <f>0.56776 *0.01</f>
        <v>5.6776000000000005E-3</v>
      </c>
      <c r="F8">
        <f>1.68 *0.01</f>
        <v>1.6799999999999999E-2</v>
      </c>
      <c r="G8">
        <f>2.3876 *0.01</f>
        <v>2.3876000000000001E-2</v>
      </c>
      <c r="H8">
        <f>0.97632 * 0.01</f>
        <v>9.7631999999999997E-3</v>
      </c>
      <c r="I8">
        <f>1.12* 0.01</f>
        <v>1.1200000000000002E-2</v>
      </c>
      <c r="J8">
        <f>2.79444* 0.01</f>
        <v>2.7944399999999998E-2</v>
      </c>
      <c r="K8">
        <f>2.6329* 0.01</f>
        <v>2.6328999999999998E-2</v>
      </c>
      <c r="L8">
        <f>11.9714* 0.01</f>
        <v>0.11971399999999999</v>
      </c>
      <c r="M8">
        <f>2.2294* 0.01</f>
        <v>2.2294000000000001E-2</v>
      </c>
      <c r="N8">
        <f>0.3399* 0.01</f>
        <v>3.3989999999999997E-3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588D-5F85-7D4B-B4A3-51CBF658CAE6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40" customWidth="1"/>
  </cols>
  <sheetData>
    <row r="1" spans="1:19" x14ac:dyDescent="0.2">
      <c r="A1" s="1" t="s">
        <v>0</v>
      </c>
    </row>
    <row r="3" spans="1:19" x14ac:dyDescent="0.2">
      <c r="A3" s="1" t="s">
        <v>12</v>
      </c>
    </row>
    <row r="4" spans="1:19" x14ac:dyDescent="0.2">
      <c r="A4" t="s">
        <v>7</v>
      </c>
      <c r="B4">
        <f>0.123404281 * 0.01</f>
        <v>1.2340428100000001E-3</v>
      </c>
      <c r="C4">
        <f>0.021890832 * 0.01</f>
        <v>2.1890831999999999E-4</v>
      </c>
      <c r="D4">
        <f>0.0966084 * 0.01</f>
        <v>9.6608399999999997E-4</v>
      </c>
      <c r="E4">
        <f>0.04911124 * 0.01</f>
        <v>4.9111240000000007E-4</v>
      </c>
      <c r="F4">
        <f>0.142296 * 0.01</f>
        <v>1.42296E-3</v>
      </c>
      <c r="G4">
        <f>0.17859248 * 0.01</f>
        <v>1.7859248E-3</v>
      </c>
    </row>
    <row r="5" spans="1:19" x14ac:dyDescent="0.2">
      <c r="A5" t="s">
        <v>42</v>
      </c>
      <c r="B5">
        <f>0.07615296 * 0.01</f>
        <v>7.6152960000000003E-4</v>
      </c>
      <c r="C5">
        <f>0.051072 * 0.01</f>
        <v>5.1071999999999999E-4</v>
      </c>
      <c r="D5">
        <f>0.59801016 * 0.01</f>
        <v>5.9801016E-3</v>
      </c>
      <c r="E5">
        <f>0.2685558 * 0.01</f>
        <v>2.6855580000000002E-3</v>
      </c>
      <c r="F5">
        <f>2.513994 * 0.01</f>
        <v>2.513994E-2</v>
      </c>
      <c r="G5">
        <f>0.178352 * 0.01</f>
        <v>1.7835200000000002E-3</v>
      </c>
      <c r="H5">
        <v>0</v>
      </c>
      <c r="I5">
        <f>0.20740704 * 0.01</f>
        <v>2.0740704E-3</v>
      </c>
      <c r="J5">
        <f>0.234614784 * 0.01</f>
        <v>2.3461478399999999E-3</v>
      </c>
      <c r="K5">
        <f>0.4901715 * 0.01</f>
        <v>4.9017150000000001E-3</v>
      </c>
      <c r="L5">
        <f>0.7696768 * 0.01</f>
        <v>7.6967680000000005E-3</v>
      </c>
      <c r="M5">
        <f>0.551 * 0.01</f>
        <v>5.5100000000000001E-3</v>
      </c>
      <c r="N5">
        <f>0.769065 * 0.01</f>
        <v>7.6906500000000003E-3</v>
      </c>
      <c r="O5">
        <f>0.85988 * 0.01</f>
        <v>8.5988000000000002E-3</v>
      </c>
      <c r="P5">
        <f>1.6702976 * 0.01</f>
        <v>1.6702976000000001E-2</v>
      </c>
      <c r="Q5">
        <f>0.7695882 * 0.01</f>
        <v>7.6958819999999994E-3</v>
      </c>
      <c r="R5">
        <f>0.16554208 * 0.01</f>
        <v>1.6554208000000002E-3</v>
      </c>
      <c r="S5">
        <f>0.28980612 * 0.01</f>
        <v>2.8980612E-3</v>
      </c>
    </row>
    <row r="6" spans="1:19" x14ac:dyDescent="0.2">
      <c r="A6" t="s">
        <v>8</v>
      </c>
      <c r="B6">
        <f>0.07615296 * 0.01</f>
        <v>7.6152960000000003E-4</v>
      </c>
      <c r="C6">
        <f>0.051072 * 0.01</f>
        <v>5.1071999999999999E-4</v>
      </c>
      <c r="D6">
        <f>0.59801016 * 0.01</f>
        <v>5.9801016E-3</v>
      </c>
      <c r="E6">
        <f>0.2685558 * 0.01</f>
        <v>2.6855580000000002E-3</v>
      </c>
      <c r="F6">
        <f>2.513994 * 0.01</f>
        <v>2.513994E-2</v>
      </c>
      <c r="G6">
        <f>0.178352 * 0.01</f>
        <v>1.7835200000000002E-3</v>
      </c>
      <c r="H6">
        <v>0</v>
      </c>
    </row>
    <row r="7" spans="1:19" x14ac:dyDescent="0.2">
      <c r="A7" t="s">
        <v>45</v>
      </c>
      <c r="B7">
        <f>0.20740704 * 0.01</f>
        <v>2.0740704E-3</v>
      </c>
      <c r="C7">
        <f>0.234614784 * 0.01</f>
        <v>2.3461478399999999E-3</v>
      </c>
      <c r="D7">
        <f>0.4901715 * 0.01</f>
        <v>4.9017150000000001E-3</v>
      </c>
      <c r="E7">
        <f>0.7696768 * 0.01</f>
        <v>7.6967680000000005E-3</v>
      </c>
      <c r="F7">
        <f>0.551 * 0.01</f>
        <v>5.5100000000000001E-3</v>
      </c>
      <c r="G7">
        <f>0.769065 * 0.01</f>
        <v>7.6906500000000003E-3</v>
      </c>
      <c r="H7">
        <f>0.85988 * 0.01</f>
        <v>8.5988000000000002E-3</v>
      </c>
      <c r="I7">
        <f>1.6702976 * 0.01</f>
        <v>1.6702976000000001E-2</v>
      </c>
      <c r="J7">
        <f>0.7695882 * 0.01</f>
        <v>7.6958819999999994E-3</v>
      </c>
      <c r="K7">
        <f>0.16554208 * 0.01</f>
        <v>1.6554208000000002E-3</v>
      </c>
      <c r="L7">
        <f>0.28980612 * 0.01</f>
        <v>2.8980612E-3</v>
      </c>
    </row>
    <row r="8" spans="1:19" x14ac:dyDescent="0.2">
      <c r="A8" t="s">
        <v>46</v>
      </c>
      <c r="B8">
        <f>0.123404281 * 0.01</f>
        <v>1.2340428100000001E-3</v>
      </c>
      <c r="C8">
        <f>0.021890832 * 0.01</f>
        <v>2.1890831999999999E-4</v>
      </c>
      <c r="D8">
        <f>0.0966084 * 0.01</f>
        <v>9.6608399999999997E-4</v>
      </c>
      <c r="E8">
        <f>0.04911124 * 0.01</f>
        <v>4.9111240000000007E-4</v>
      </c>
      <c r="F8">
        <f>0.142296 * 0.01</f>
        <v>1.42296E-3</v>
      </c>
      <c r="G8">
        <f>0.17859248 * 0.01</f>
        <v>1.7859248E-3</v>
      </c>
      <c r="H8">
        <f>0.07615296 * 0.01</f>
        <v>7.6152960000000003E-4</v>
      </c>
      <c r="I8">
        <f>0.051072 * 0.01</f>
        <v>5.1071999999999999E-4</v>
      </c>
      <c r="J8">
        <f>0.59801016 * 0.01</f>
        <v>5.9801016E-3</v>
      </c>
      <c r="K8">
        <f>0.2685558 * 0.01</f>
        <v>2.6855580000000002E-3</v>
      </c>
      <c r="L8">
        <f>2.513994 * 0.01</f>
        <v>2.513994E-2</v>
      </c>
      <c r="M8">
        <f>0.178352 * 0.01</f>
        <v>1.7835200000000002E-3</v>
      </c>
      <c r="N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7B40-4C55-CF49-9B1B-D26AF142CC8B}">
  <dimension ref="A1:S8"/>
  <sheetViews>
    <sheetView workbookViewId="0">
      <selection activeCell="A4" sqref="A4:A8"/>
    </sheetView>
  </sheetViews>
  <sheetFormatPr baseColWidth="10" defaultRowHeight="16" x14ac:dyDescent="0.2"/>
  <cols>
    <col min="1" max="1" width="54.83203125" customWidth="1"/>
    <col min="2" max="2" width="12.1640625" bestFit="1" customWidth="1"/>
    <col min="4" max="5" width="12.1640625" bestFit="1" customWidth="1"/>
  </cols>
  <sheetData>
    <row r="1" spans="1:19" x14ac:dyDescent="0.2">
      <c r="A1" s="1" t="s">
        <v>0</v>
      </c>
    </row>
    <row r="3" spans="1:19" x14ac:dyDescent="0.2">
      <c r="A3" s="1" t="s">
        <v>13</v>
      </c>
    </row>
    <row r="4" spans="1:19" x14ac:dyDescent="0.2">
      <c r="A4" t="s">
        <v>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19" x14ac:dyDescent="0.2">
      <c r="A5" t="s">
        <v>42</v>
      </c>
      <c r="B5">
        <f>9.09 * 0.01</f>
        <v>9.0899999999999995E-2</v>
      </c>
      <c r="C5">
        <f>26.3 * 0.01</f>
        <v>0.26300000000000001</v>
      </c>
      <c r="D5">
        <f>2.53 * 0.01</f>
        <v>2.53E-2</v>
      </c>
      <c r="E5">
        <f>1.56 * 0.01</f>
        <v>1.5600000000000001E-2</v>
      </c>
      <c r="F5">
        <v>0</v>
      </c>
      <c r="G5">
        <v>0</v>
      </c>
      <c r="H5">
        <v>0</v>
      </c>
      <c r="I5">
        <f>3.64 * 0.01</f>
        <v>3.6400000000000002E-2</v>
      </c>
      <c r="J5">
        <v>0</v>
      </c>
      <c r="K5">
        <f>0.39 * 0.01</f>
        <v>3.9000000000000003E-3</v>
      </c>
      <c r="L5">
        <v>0</v>
      </c>
      <c r="M5">
        <v>0</v>
      </c>
      <c r="N5">
        <f>17.6 * 0.01</f>
        <v>0.17600000000000002</v>
      </c>
      <c r="O5">
        <v>0</v>
      </c>
      <c r="P5">
        <f>2.51 * 0.01</f>
        <v>2.5099999999999997E-2</v>
      </c>
      <c r="Q5">
        <v>0</v>
      </c>
      <c r="R5">
        <v>0</v>
      </c>
      <c r="S5">
        <v>0</v>
      </c>
    </row>
    <row r="6" spans="1:19" x14ac:dyDescent="0.2">
      <c r="A6" t="s">
        <v>8</v>
      </c>
      <c r="B6">
        <f>9.09 * 0.01</f>
        <v>9.0899999999999995E-2</v>
      </c>
      <c r="C6">
        <f>26.3 * 0.01</f>
        <v>0.26300000000000001</v>
      </c>
      <c r="D6">
        <f>2.53 * 0.01</f>
        <v>2.53E-2</v>
      </c>
      <c r="E6">
        <f>1.56 * 0.01</f>
        <v>1.5600000000000001E-2</v>
      </c>
      <c r="F6">
        <v>0</v>
      </c>
      <c r="G6">
        <v>0</v>
      </c>
      <c r="H6">
        <v>0</v>
      </c>
    </row>
    <row r="7" spans="1:19" x14ac:dyDescent="0.2">
      <c r="A7" t="s">
        <v>45</v>
      </c>
      <c r="B7">
        <f>3.64 * 0.01</f>
        <v>3.6400000000000002E-2</v>
      </c>
      <c r="C7">
        <v>0</v>
      </c>
      <c r="D7">
        <f>0.39 * 0.01</f>
        <v>3.9000000000000003E-3</v>
      </c>
      <c r="E7">
        <v>0</v>
      </c>
      <c r="F7">
        <v>0</v>
      </c>
      <c r="G7">
        <f>17.6 * 0.01</f>
        <v>0.17600000000000002</v>
      </c>
      <c r="H7">
        <v>0</v>
      </c>
      <c r="I7">
        <f>2.51 * 0.01</f>
        <v>2.5099999999999997E-2</v>
      </c>
      <c r="J7">
        <v>0</v>
      </c>
      <c r="K7">
        <v>0</v>
      </c>
      <c r="L7">
        <v>0</v>
      </c>
    </row>
    <row r="8" spans="1:19" x14ac:dyDescent="0.2">
      <c r="A8" t="s">
        <v>46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f>9.09 * 0.01</f>
        <v>9.0899999999999995E-2</v>
      </c>
      <c r="I8">
        <f>26.3 * 0.01</f>
        <v>0.26300000000000001</v>
      </c>
      <c r="J8">
        <f>2.53 * 0.01</f>
        <v>2.53E-2</v>
      </c>
      <c r="K8">
        <f>1.56 * 0.01</f>
        <v>1.5600000000000001E-2</v>
      </c>
      <c r="L8">
        <v>0</v>
      </c>
      <c r="M8">
        <v>0</v>
      </c>
      <c r="N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D38F-8B00-EC4E-A352-24E34CC44095}">
  <dimension ref="A1:I6"/>
  <sheetViews>
    <sheetView workbookViewId="0">
      <selection activeCell="D22" sqref="D22"/>
    </sheetView>
  </sheetViews>
  <sheetFormatPr baseColWidth="10" defaultRowHeight="16" x14ac:dyDescent="0.2"/>
  <cols>
    <col min="1" max="1" width="40" customWidth="1"/>
  </cols>
  <sheetData>
    <row r="1" spans="1:9" x14ac:dyDescent="0.2">
      <c r="A1" s="1" t="s">
        <v>0</v>
      </c>
    </row>
    <row r="3" spans="1:9" x14ac:dyDescent="0.2">
      <c r="A3" s="1" t="s">
        <v>12</v>
      </c>
    </row>
    <row r="4" spans="1:9" x14ac:dyDescent="0.2">
      <c r="A4" t="s">
        <v>7</v>
      </c>
      <c r="B4">
        <f>0.123404281 * 0.01</f>
        <v>1.2340428100000001E-3</v>
      </c>
      <c r="C4">
        <f>0.021890832 * 0.01</f>
        <v>2.1890831999999999E-4</v>
      </c>
      <c r="D4">
        <f>0.0966084 * 0.01</f>
        <v>9.6608399999999997E-4</v>
      </c>
      <c r="E4">
        <f>0.04911124 * 0.01</f>
        <v>4.9111240000000007E-4</v>
      </c>
      <c r="F4">
        <f>0.142296 * 0.01</f>
        <v>1.42296E-3</v>
      </c>
      <c r="G4">
        <f>0.17859248 * 0.01</f>
        <v>1.7859248E-3</v>
      </c>
    </row>
    <row r="5" spans="1:9" x14ac:dyDescent="0.2">
      <c r="A5" t="s">
        <v>14</v>
      </c>
      <c r="B5">
        <f>0.051072 * 0.01</f>
        <v>5.1071999999999999E-4</v>
      </c>
      <c r="C5">
        <f>0.59801016 * 0.01</f>
        <v>5.9801016E-3</v>
      </c>
      <c r="D5">
        <f>0.2685558 * 0.01</f>
        <v>2.6855580000000002E-3</v>
      </c>
      <c r="E5">
        <v>0</v>
      </c>
    </row>
    <row r="6" spans="1:9" x14ac:dyDescent="0.2">
      <c r="A6" t="s">
        <v>47</v>
      </c>
      <c r="B6">
        <f>0.234614784 * 0.01</f>
        <v>2.3461478399999999E-3</v>
      </c>
      <c r="C6">
        <f>0.4901715 * 0.01</f>
        <v>4.9017150000000001E-3</v>
      </c>
      <c r="D6">
        <f>0.551 * 0.01</f>
        <v>5.5100000000000001E-3</v>
      </c>
      <c r="E6">
        <f>0.85988 * 0.01</f>
        <v>8.5988000000000002E-3</v>
      </c>
      <c r="F6">
        <f>1.6702976 * 0.01</f>
        <v>1.6702976000000001E-2</v>
      </c>
      <c r="G6">
        <f>0.7695882 * 0.01</f>
        <v>7.6958819999999994E-3</v>
      </c>
      <c r="H6">
        <f>0.16554208 * 0.01</f>
        <v>1.6554208000000002E-3</v>
      </c>
      <c r="I6">
        <f>0.28980612 * 0.01</f>
        <v>2.8980612E-3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245C-56EC-744B-9555-E2CA59944719}">
  <dimension ref="A1:G6"/>
  <sheetViews>
    <sheetView workbookViewId="0">
      <selection activeCell="A12" sqref="A12"/>
    </sheetView>
  </sheetViews>
  <sheetFormatPr baseColWidth="10" defaultRowHeight="16" x14ac:dyDescent="0.2"/>
  <cols>
    <col min="1" max="1" width="40.1640625" bestFit="1" customWidth="1"/>
  </cols>
  <sheetData>
    <row r="1" spans="1:7" x14ac:dyDescent="0.2">
      <c r="A1" s="1" t="s">
        <v>0</v>
      </c>
    </row>
    <row r="3" spans="1:7" x14ac:dyDescent="0.2">
      <c r="A3" s="1" t="s">
        <v>12</v>
      </c>
    </row>
    <row r="4" spans="1:7" x14ac:dyDescent="0.2">
      <c r="A4" t="s">
        <v>7</v>
      </c>
      <c r="B4">
        <f>0.123404281 * 0.01</f>
        <v>1.2340428100000001E-3</v>
      </c>
      <c r="C4">
        <f>0.021890832 * 0.01</f>
        <v>2.1890831999999999E-4</v>
      </c>
      <c r="D4">
        <f>0.0966084 * 0.01</f>
        <v>9.6608399999999997E-4</v>
      </c>
      <c r="E4">
        <f>0.04911124 * 0.01</f>
        <v>4.9111240000000007E-4</v>
      </c>
      <c r="F4">
        <f>0.142296 * 0.01</f>
        <v>1.42296E-3</v>
      </c>
      <c r="G4">
        <f>0.17859248 * 0.01</f>
        <v>1.7859248E-3</v>
      </c>
    </row>
    <row r="5" spans="1:7" x14ac:dyDescent="0.2">
      <c r="A5" t="s">
        <v>15</v>
      </c>
      <c r="B5">
        <f>0.07615296 * 0.01</f>
        <v>7.6152960000000003E-4</v>
      </c>
      <c r="C5">
        <f>0.051072 * 0.01</f>
        <v>5.1071999999999999E-4</v>
      </c>
      <c r="D5">
        <f>0.59801016 * 0.01</f>
        <v>5.9801016E-3</v>
      </c>
      <c r="E5">
        <f>0.2685558 * 0.01</f>
        <v>2.6855580000000002E-3</v>
      </c>
      <c r="F5">
        <f>0.178352 * 0.01</f>
        <v>1.7835200000000002E-3</v>
      </c>
      <c r="G5">
        <v>0</v>
      </c>
    </row>
    <row r="6" spans="1:7" x14ac:dyDescent="0.2">
      <c r="A6" t="s">
        <v>48</v>
      </c>
      <c r="B6">
        <f>0.234614784 * 0.01</f>
        <v>2.3461478399999999E-3</v>
      </c>
      <c r="C6">
        <f>0.769065 * 0.01</f>
        <v>7.6906500000000003E-3</v>
      </c>
      <c r="D6">
        <f>1.6702976 * 0.01</f>
        <v>1.6702976000000001E-2</v>
      </c>
      <c r="E6">
        <f>0.16554208 * 0.01</f>
        <v>1.6554208000000002E-3</v>
      </c>
      <c r="F6">
        <f>0.28980612 * 0.01</f>
        <v>2.8980612E-3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1F</vt:lpstr>
      <vt:lpstr>5A</vt:lpstr>
      <vt:lpstr>5B</vt:lpstr>
      <vt:lpstr>5C</vt:lpstr>
      <vt:lpstr>5D</vt:lpstr>
      <vt:lpstr>5E</vt:lpstr>
      <vt:lpstr>5F</vt:lpstr>
      <vt:lpstr>5I</vt:lpstr>
      <vt:lpstr>5J</vt:lpstr>
      <vt:lpstr>S3A</vt:lpstr>
      <vt:lpstr>S3B</vt:lpstr>
      <vt:lpstr>S10</vt:lpstr>
      <vt:lpstr>S19B</vt:lpstr>
      <vt:lpstr>S19C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 SoRelle</dc:creator>
  <cp:lastModifiedBy>Sorelle, Elliott</cp:lastModifiedBy>
  <dcterms:created xsi:type="dcterms:W3CDTF">2025-01-18T01:24:56Z</dcterms:created>
  <dcterms:modified xsi:type="dcterms:W3CDTF">2025-02-26T05:56:48Z</dcterms:modified>
</cp:coreProperties>
</file>