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reeya/Downloads/"/>
    </mc:Choice>
  </mc:AlternateContent>
  <xr:revisionPtr revIDLastSave="0" documentId="8_{F5555E74-E190-5144-BE9F-0C1FB9276446}" xr6:coauthVersionLast="47" xr6:coauthVersionMax="47" xr10:uidLastSave="{00000000-0000-0000-0000-000000000000}"/>
  <bookViews>
    <workbookView xWindow="0" yWindow="0" windowWidth="28800" windowHeight="15720" tabRatio="972" firstSheet="5" activeTab="10" xr2:uid="{831394CF-11B7-4495-98DD-68FF8F48A47E}"/>
  </bookViews>
  <sheets>
    <sheet name="Fig 1" sheetId="39" r:id="rId1"/>
    <sheet name="Fig 2C" sheetId="1" r:id="rId2"/>
    <sheet name="Fig 2D" sheetId="5" r:id="rId3"/>
    <sheet name="Fig 3 E-J" sheetId="25" r:id="rId4"/>
    <sheet name="Fig 4" sheetId="37" r:id="rId5"/>
    <sheet name="Fig 5C" sheetId="3" r:id="rId6"/>
    <sheet name="Fig 5D" sheetId="6" r:id="rId7"/>
    <sheet name="Fig 6C" sheetId="10" r:id="rId8"/>
    <sheet name="Fig 6D" sheetId="12" r:id="rId9"/>
    <sheet name="Fig 6E" sheetId="8" r:id="rId10"/>
    <sheet name="Fig 6F" sheetId="7" r:id="rId11"/>
    <sheet name="Fig 7C" sheetId="19" r:id="rId12"/>
    <sheet name="Fig 7D" sheetId="20" r:id="rId13"/>
    <sheet name="Fig 7E" sheetId="14" r:id="rId14"/>
    <sheet name="Fig 7F" sheetId="16" r:id="rId15"/>
    <sheet name="Fig 8C" sheetId="26" r:id="rId16"/>
    <sheet name="Suppl Fig 2A" sheetId="38" r:id="rId17"/>
    <sheet name="Suppl Fig 2B" sheetId="28" r:id="rId18"/>
    <sheet name="Suppl Fig 3A" sheetId="29" r:id="rId19"/>
    <sheet name="Suppl Fig 3B" sheetId="30" r:id="rId20"/>
    <sheet name="Suppl Fig 3C" sheetId="31" r:id="rId21"/>
    <sheet name="Suppl Fig 3D" sheetId="32" r:id="rId22"/>
    <sheet name="Suppl Fig 3E" sheetId="33" r:id="rId23"/>
    <sheet name="Suppl Fig 3F" sheetId="34" r:id="rId24"/>
    <sheet name="Suppl Fig 3G" sheetId="35" r:id="rId25"/>
    <sheet name="Suppl Fig 3H" sheetId="36" r:id="rId26"/>
    <sheet name="Suppl Fig 4C" sheetId="24" r:id="rId27"/>
    <sheet name="Suppl Fig 4D" sheetId="27" r:id="rId28"/>
    <sheet name="Suppl Fig 5" sheetId="49" r:id="rId29"/>
    <sheet name="Suppl Fig 6" sheetId="40" r:id="rId30"/>
    <sheet name="Suppl Fig 7" sheetId="41" r:id="rId31"/>
    <sheet name="Suppl Fig 8" sheetId="42" r:id="rId32"/>
    <sheet name="Suppl Fig 9" sheetId="43" r:id="rId33"/>
    <sheet name="Suppl Fig 10A" sheetId="44" r:id="rId34"/>
    <sheet name="Suppl Fig 10B" sheetId="47" r:id="rId35"/>
    <sheet name="Table 1" sheetId="48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8" l="1"/>
  <c r="B24" i="48"/>
  <c r="Z89" i="38" l="1"/>
  <c r="Y89" i="38"/>
  <c r="X89" i="38"/>
  <c r="W89" i="38"/>
  <c r="V89" i="38"/>
  <c r="U89" i="38"/>
  <c r="T89" i="38"/>
  <c r="S89" i="38"/>
  <c r="R89" i="38"/>
  <c r="Q89" i="38"/>
  <c r="P89" i="38"/>
  <c r="P90" i="38" s="1"/>
  <c r="O89" i="38"/>
  <c r="N89" i="38"/>
  <c r="M89" i="38"/>
  <c r="L89" i="38"/>
  <c r="K89" i="38"/>
  <c r="J89" i="38"/>
  <c r="I89" i="38"/>
  <c r="H89" i="38"/>
  <c r="G89" i="38"/>
  <c r="F89" i="38"/>
  <c r="E89" i="38"/>
  <c r="D89" i="38"/>
  <c r="D90" i="38" s="1"/>
  <c r="C89" i="38"/>
  <c r="B89" i="38"/>
  <c r="Z88" i="38"/>
  <c r="Y88" i="38"/>
  <c r="X88" i="38"/>
  <c r="W88" i="38"/>
  <c r="V88" i="38"/>
  <c r="U88" i="38"/>
  <c r="T88" i="38"/>
  <c r="S88" i="38"/>
  <c r="R88" i="38"/>
  <c r="Q88" i="38"/>
  <c r="P88" i="38"/>
  <c r="O88" i="38"/>
  <c r="N88" i="38"/>
  <c r="M88" i="38"/>
  <c r="L88" i="38"/>
  <c r="K88" i="38"/>
  <c r="J88" i="38"/>
  <c r="I88" i="38"/>
  <c r="H88" i="38"/>
  <c r="G88" i="38"/>
  <c r="F88" i="38"/>
  <c r="E88" i="38"/>
  <c r="D88" i="38"/>
  <c r="C88" i="38"/>
  <c r="B88" i="38"/>
  <c r="Z87" i="38"/>
  <c r="Y87" i="38"/>
  <c r="X87" i="38"/>
  <c r="W87" i="38"/>
  <c r="V87" i="38"/>
  <c r="U87" i="38"/>
  <c r="T87" i="38"/>
  <c r="S87" i="38"/>
  <c r="R87" i="38"/>
  <c r="Q87" i="38"/>
  <c r="P87" i="38"/>
  <c r="O87" i="38"/>
  <c r="N87" i="38"/>
  <c r="M87" i="38"/>
  <c r="L87" i="38"/>
  <c r="K87" i="38"/>
  <c r="J87" i="38"/>
  <c r="I87" i="38"/>
  <c r="H87" i="38"/>
  <c r="G87" i="38"/>
  <c r="F87" i="38"/>
  <c r="E87" i="38"/>
  <c r="D87" i="38"/>
  <c r="C87" i="38"/>
  <c r="B87" i="38"/>
  <c r="C48" i="38"/>
  <c r="D48" i="38" s="1"/>
  <c r="E48" i="38" s="1"/>
  <c r="F48" i="38" s="1"/>
  <c r="G48" i="38" s="1"/>
  <c r="H48" i="38" s="1"/>
  <c r="I48" i="38" s="1"/>
  <c r="J48" i="38" s="1"/>
  <c r="K48" i="38" s="1"/>
  <c r="L48" i="38" s="1"/>
  <c r="M48" i="38" s="1"/>
  <c r="N48" i="38" s="1"/>
  <c r="O48" i="38" s="1"/>
  <c r="P48" i="38" s="1"/>
  <c r="Q48" i="38" s="1"/>
  <c r="R48" i="38" s="1"/>
  <c r="S48" i="38" s="1"/>
  <c r="T48" i="38" s="1"/>
  <c r="U48" i="38" s="1"/>
  <c r="V48" i="38" s="1"/>
  <c r="W48" i="38" s="1"/>
  <c r="X48" i="38" s="1"/>
  <c r="Y48" i="38" s="1"/>
  <c r="Z48" i="38" s="1"/>
  <c r="C47" i="38"/>
  <c r="D47" i="38" s="1"/>
  <c r="E47" i="38" s="1"/>
  <c r="F47" i="38" s="1"/>
  <c r="G47" i="38" s="1"/>
  <c r="H47" i="38" s="1"/>
  <c r="I47" i="38" s="1"/>
  <c r="J47" i="38" s="1"/>
  <c r="K47" i="38" s="1"/>
  <c r="L47" i="38" s="1"/>
  <c r="M47" i="38" s="1"/>
  <c r="N47" i="38" s="1"/>
  <c r="O47" i="38" s="1"/>
  <c r="P47" i="38" s="1"/>
  <c r="Q47" i="38" s="1"/>
  <c r="R47" i="38" s="1"/>
  <c r="S47" i="38" s="1"/>
  <c r="T47" i="38" s="1"/>
  <c r="U47" i="38" s="1"/>
  <c r="V47" i="38" s="1"/>
  <c r="W47" i="38" s="1"/>
  <c r="X47" i="38" s="1"/>
  <c r="Y47" i="38" s="1"/>
  <c r="Z47" i="38" s="1"/>
  <c r="Z41" i="38"/>
  <c r="Y41" i="38"/>
  <c r="X41" i="38"/>
  <c r="W41" i="38"/>
  <c r="V41" i="38"/>
  <c r="U41" i="38"/>
  <c r="T41" i="38"/>
  <c r="S41" i="38"/>
  <c r="R41" i="38"/>
  <c r="Q41" i="38"/>
  <c r="P41" i="38"/>
  <c r="O41" i="38"/>
  <c r="N41" i="38"/>
  <c r="M41" i="38"/>
  <c r="L41" i="38"/>
  <c r="K41" i="38"/>
  <c r="J41" i="38"/>
  <c r="I41" i="38"/>
  <c r="H41" i="38"/>
  <c r="G41" i="38"/>
  <c r="F41" i="38"/>
  <c r="E41" i="38"/>
  <c r="D41" i="38"/>
  <c r="C41" i="38"/>
  <c r="B41" i="38"/>
  <c r="Z40" i="38"/>
  <c r="Y40" i="38"/>
  <c r="X40" i="38"/>
  <c r="W40" i="38"/>
  <c r="V40" i="38"/>
  <c r="U40" i="38"/>
  <c r="T40" i="38"/>
  <c r="S40" i="38"/>
  <c r="R40" i="38"/>
  <c r="Q40" i="38"/>
  <c r="P40" i="38"/>
  <c r="O40" i="38"/>
  <c r="N40" i="38"/>
  <c r="M40" i="38"/>
  <c r="L40" i="38"/>
  <c r="K40" i="38"/>
  <c r="J40" i="38"/>
  <c r="I40" i="38"/>
  <c r="H40" i="38"/>
  <c r="G40" i="38"/>
  <c r="F40" i="38"/>
  <c r="E40" i="38"/>
  <c r="D40" i="38"/>
  <c r="C40" i="38"/>
  <c r="B40" i="38"/>
  <c r="Z39" i="38"/>
  <c r="Y39" i="38"/>
  <c r="X39" i="38"/>
  <c r="W39" i="38"/>
  <c r="V39" i="38"/>
  <c r="U39" i="38"/>
  <c r="T39" i="38"/>
  <c r="S39" i="38"/>
  <c r="R39" i="38"/>
  <c r="Q39" i="38"/>
  <c r="P39" i="38"/>
  <c r="O39" i="38"/>
  <c r="N39" i="38"/>
  <c r="M39" i="38"/>
  <c r="L39" i="38"/>
  <c r="K39" i="38"/>
  <c r="J39" i="38"/>
  <c r="I39" i="38"/>
  <c r="H39" i="38"/>
  <c r="G39" i="38"/>
  <c r="F39" i="38"/>
  <c r="E39" i="38"/>
  <c r="D39" i="38"/>
  <c r="C39" i="38"/>
  <c r="B39" i="38"/>
  <c r="C6" i="38"/>
  <c r="D6" i="38" s="1"/>
  <c r="E6" i="38" s="1"/>
  <c r="F6" i="38" s="1"/>
  <c r="G6" i="38" s="1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V6" i="38" s="1"/>
  <c r="W6" i="38" s="1"/>
  <c r="X6" i="38" s="1"/>
  <c r="Y6" i="38" s="1"/>
  <c r="Z6" i="38" s="1"/>
  <c r="C5" i="38"/>
  <c r="D5" i="38" s="1"/>
  <c r="E5" i="38" s="1"/>
  <c r="F5" i="38" s="1"/>
  <c r="G5" i="38" s="1"/>
  <c r="H5" i="38" s="1"/>
  <c r="I5" i="38" s="1"/>
  <c r="J5" i="38" s="1"/>
  <c r="K5" i="38" s="1"/>
  <c r="L5" i="38" s="1"/>
  <c r="M5" i="38" s="1"/>
  <c r="N5" i="38" s="1"/>
  <c r="O5" i="38" s="1"/>
  <c r="P5" i="38" s="1"/>
  <c r="Q5" i="38" s="1"/>
  <c r="R5" i="38" s="1"/>
  <c r="S5" i="38" s="1"/>
  <c r="T5" i="38" s="1"/>
  <c r="U5" i="38" s="1"/>
  <c r="V5" i="38" s="1"/>
  <c r="W5" i="38" s="1"/>
  <c r="X5" i="38" s="1"/>
  <c r="Y5" i="38" s="1"/>
  <c r="Z5" i="38" s="1"/>
  <c r="C90" i="38" l="1"/>
  <c r="O90" i="38"/>
  <c r="F90" i="38"/>
  <c r="R90" i="38"/>
  <c r="M42" i="38"/>
  <c r="G90" i="38"/>
  <c r="S90" i="38"/>
  <c r="I90" i="38"/>
  <c r="U90" i="38"/>
  <c r="J90" i="38"/>
  <c r="V90" i="38"/>
  <c r="K90" i="38"/>
  <c r="W90" i="38"/>
  <c r="L90" i="38"/>
  <c r="X90" i="38"/>
  <c r="H90" i="38"/>
  <c r="M90" i="38"/>
  <c r="Y90" i="38"/>
  <c r="B90" i="38"/>
  <c r="N90" i="38"/>
  <c r="Z90" i="38"/>
  <c r="K42" i="38"/>
  <c r="T90" i="38"/>
  <c r="E90" i="38"/>
  <c r="Q90" i="38"/>
  <c r="W42" i="38"/>
  <c r="N42" i="38"/>
  <c r="V42" i="38"/>
  <c r="Y42" i="38"/>
  <c r="Z42" i="38"/>
  <c r="P42" i="38"/>
  <c r="D42" i="38"/>
  <c r="J42" i="38"/>
  <c r="B42" i="38"/>
  <c r="C42" i="38"/>
  <c r="O42" i="38"/>
  <c r="E42" i="38"/>
  <c r="Q42" i="38"/>
  <c r="F42" i="38"/>
  <c r="R42" i="38"/>
  <c r="U42" i="38"/>
  <c r="G42" i="38"/>
  <c r="S42" i="38"/>
  <c r="I42" i="38"/>
  <c r="H42" i="38"/>
  <c r="T42" i="38"/>
  <c r="L42" i="38"/>
  <c r="X42" i="38"/>
  <c r="AD41" i="37" l="1"/>
  <c r="AD42" i="37" s="1"/>
  <c r="AA41" i="37"/>
  <c r="AA42" i="37" s="1"/>
  <c r="Y41" i="37"/>
  <c r="Y42" i="37" s="1"/>
  <c r="X41" i="37"/>
  <c r="X42" i="37" s="1"/>
  <c r="K41" i="37"/>
  <c r="K42" i="37" s="1"/>
  <c r="J41" i="37"/>
  <c r="J42" i="37" s="1"/>
  <c r="H41" i="37"/>
  <c r="H42" i="37" s="1"/>
  <c r="F41" i="37"/>
  <c r="F42" i="37" s="1"/>
  <c r="E41" i="37"/>
  <c r="E42" i="37" s="1"/>
  <c r="AD40" i="37"/>
  <c r="AA40" i="37"/>
  <c r="Z40" i="37"/>
  <c r="Y40" i="37"/>
  <c r="X40" i="37"/>
  <c r="K40" i="37"/>
  <c r="H40" i="37"/>
  <c r="G40" i="37"/>
  <c r="F40" i="37"/>
  <c r="E40" i="37"/>
  <c r="W39" i="37"/>
  <c r="D39" i="37"/>
  <c r="AI14" i="37"/>
  <c r="AE14" i="37"/>
  <c r="AF14" i="37" s="1"/>
  <c r="AC14" i="37"/>
  <c r="AB14" i="37"/>
  <c r="Z14" i="37"/>
  <c r="AI13" i="37"/>
  <c r="AF13" i="37"/>
  <c r="AE13" i="37"/>
  <c r="AB13" i="37"/>
  <c r="Z13" i="37"/>
  <c r="AC13" i="37" s="1"/>
  <c r="P13" i="37"/>
  <c r="L13" i="37"/>
  <c r="M13" i="37" s="1"/>
  <c r="J13" i="37"/>
  <c r="I13" i="37"/>
  <c r="G13" i="37"/>
  <c r="AI12" i="37"/>
  <c r="AF12" i="37"/>
  <c r="AE12" i="37"/>
  <c r="AB12" i="37"/>
  <c r="Z12" i="37"/>
  <c r="AC12" i="37" s="1"/>
  <c r="P12" i="37"/>
  <c r="L12" i="37"/>
  <c r="M12" i="37" s="1"/>
  <c r="J12" i="37"/>
  <c r="I12" i="37"/>
  <c r="G12" i="37"/>
  <c r="AI11" i="37"/>
  <c r="AF11" i="37"/>
  <c r="AE11" i="37"/>
  <c r="AB11" i="37"/>
  <c r="Z11" i="37"/>
  <c r="AC11" i="37" s="1"/>
  <c r="P11" i="37"/>
  <c r="L11" i="37"/>
  <c r="M11" i="37" s="1"/>
  <c r="J11" i="37"/>
  <c r="I11" i="37"/>
  <c r="G11" i="37"/>
  <c r="AI10" i="37"/>
  <c r="AF10" i="37"/>
  <c r="AE10" i="37"/>
  <c r="AB10" i="37"/>
  <c r="Z10" i="37"/>
  <c r="AC10" i="37" s="1"/>
  <c r="P10" i="37"/>
  <c r="L10" i="37"/>
  <c r="M10" i="37" s="1"/>
  <c r="J10" i="37"/>
  <c r="I10" i="37"/>
  <c r="G10" i="37"/>
  <c r="AI9" i="37"/>
  <c r="AF9" i="37"/>
  <c r="AE9" i="37"/>
  <c r="AB9" i="37"/>
  <c r="Z9" i="37"/>
  <c r="AC9" i="37" s="1"/>
  <c r="P9" i="37"/>
  <c r="L9" i="37"/>
  <c r="M9" i="37" s="1"/>
  <c r="J9" i="37"/>
  <c r="I9" i="37"/>
  <c r="G9" i="37"/>
  <c r="AI8" i="37"/>
  <c r="AF8" i="37"/>
  <c r="AE8" i="37"/>
  <c r="AB8" i="37"/>
  <c r="Z8" i="37"/>
  <c r="AC8" i="37" s="1"/>
  <c r="P8" i="37"/>
  <c r="L8" i="37"/>
  <c r="M8" i="37" s="1"/>
  <c r="J8" i="37"/>
  <c r="I8" i="37"/>
  <c r="G8" i="37"/>
  <c r="AI7" i="37"/>
  <c r="AF7" i="37"/>
  <c r="AE7" i="37"/>
  <c r="AB7" i="37"/>
  <c r="Z7" i="37"/>
  <c r="AC7" i="37" s="1"/>
  <c r="P7" i="37"/>
  <c r="L7" i="37"/>
  <c r="M7" i="37" s="1"/>
  <c r="J7" i="37"/>
  <c r="I7" i="37"/>
  <c r="G7" i="37"/>
  <c r="AI6" i="37"/>
  <c r="AF6" i="37"/>
  <c r="AE6" i="37"/>
  <c r="AB6" i="37"/>
  <c r="Z6" i="37"/>
  <c r="AC6" i="37" s="1"/>
  <c r="P6" i="37"/>
  <c r="L6" i="37"/>
  <c r="M6" i="37" s="1"/>
  <c r="J6" i="37"/>
  <c r="I6" i="37"/>
  <c r="G6" i="37"/>
  <c r="AI5" i="37"/>
  <c r="AF5" i="37"/>
  <c r="AE5" i="37"/>
  <c r="AB5" i="37"/>
  <c r="Z5" i="37"/>
  <c r="AC5" i="37" s="1"/>
  <c r="P5" i="37"/>
  <c r="L5" i="37"/>
  <c r="M5" i="37" s="1"/>
  <c r="J5" i="37"/>
  <c r="I5" i="37"/>
  <c r="G5" i="37"/>
  <c r="AI4" i="37"/>
  <c r="AF4" i="37"/>
  <c r="AE4" i="37"/>
  <c r="AB4" i="37"/>
  <c r="Z4" i="37"/>
  <c r="AC4" i="37" s="1"/>
  <c r="P4" i="37"/>
  <c r="L4" i="37"/>
  <c r="M4" i="37" s="1"/>
  <c r="J4" i="37"/>
  <c r="I4" i="37"/>
  <c r="G4" i="37"/>
  <c r="AI3" i="37"/>
  <c r="AF3" i="37"/>
  <c r="AE3" i="37"/>
  <c r="AB3" i="37"/>
  <c r="Z3" i="37"/>
  <c r="AC3" i="37" s="1"/>
  <c r="P3" i="37"/>
  <c r="L3" i="37"/>
  <c r="M3" i="37" s="1"/>
  <c r="J3" i="37"/>
  <c r="I3" i="37"/>
  <c r="G3" i="37"/>
  <c r="AI2" i="37"/>
  <c r="AF2" i="37"/>
  <c r="AE2" i="37"/>
  <c r="AE40" i="37" s="1"/>
  <c r="AB2" i="37"/>
  <c r="AB40" i="37" s="1"/>
  <c r="Z2" i="37"/>
  <c r="Z41" i="37" s="1"/>
  <c r="Z42" i="37" s="1"/>
  <c r="P2" i="37"/>
  <c r="L2" i="37"/>
  <c r="L41" i="37" s="1"/>
  <c r="L42" i="37" s="1"/>
  <c r="J2" i="37"/>
  <c r="J40" i="37" s="1"/>
  <c r="I2" i="37"/>
  <c r="I40" i="37" s="1"/>
  <c r="G2" i="37"/>
  <c r="G41" i="37" s="1"/>
  <c r="G42" i="37" s="1"/>
  <c r="AF40" i="37" l="1"/>
  <c r="L40" i="37"/>
  <c r="AB41" i="37"/>
  <c r="AB42" i="37" s="1"/>
  <c r="M2" i="37"/>
  <c r="I41" i="37"/>
  <c r="I42" i="37" s="1"/>
  <c r="AE41" i="37"/>
  <c r="AE42" i="37" s="1"/>
  <c r="AC2" i="37"/>
  <c r="AF41" i="37"/>
  <c r="AF42" i="37" s="1"/>
  <c r="M41" i="37" l="1"/>
  <c r="M42" i="37" s="1"/>
  <c r="M40" i="37"/>
  <c r="AC41" i="37"/>
  <c r="AC42" i="37" s="1"/>
  <c r="AC40" i="37"/>
  <c r="B46" i="36"/>
  <c r="B47" i="36" s="1"/>
  <c r="B45" i="36"/>
  <c r="B44" i="36"/>
  <c r="E46" i="36"/>
  <c r="E47" i="36" s="1"/>
  <c r="E45" i="36"/>
  <c r="E44" i="36"/>
  <c r="B48" i="35" l="1"/>
  <c r="E48" i="35"/>
  <c r="B49" i="35"/>
  <c r="E49" i="35"/>
  <c r="B50" i="35"/>
  <c r="B51" i="35" s="1"/>
  <c r="E50" i="35"/>
  <c r="E51" i="35" s="1"/>
  <c r="E47" i="34" l="1"/>
  <c r="B45" i="34"/>
  <c r="E46" i="34"/>
  <c r="B44" i="34"/>
  <c r="E45" i="34"/>
  <c r="B43" i="34"/>
  <c r="E47" i="33"/>
  <c r="B45" i="33"/>
  <c r="E46" i="33"/>
  <c r="B44" i="33"/>
  <c r="E45" i="33"/>
  <c r="B43" i="33"/>
  <c r="E47" i="32"/>
  <c r="B47" i="32"/>
  <c r="B48" i="32" s="1"/>
  <c r="E46" i="32"/>
  <c r="B46" i="32"/>
  <c r="E45" i="32"/>
  <c r="B45" i="32"/>
  <c r="E48" i="32" l="1"/>
  <c r="E48" i="34"/>
  <c r="B46" i="34"/>
  <c r="B46" i="33"/>
  <c r="E48" i="33"/>
  <c r="E52" i="31" l="1"/>
  <c r="E53" i="31" s="1"/>
  <c r="E51" i="31"/>
  <c r="E50" i="31"/>
  <c r="B52" i="31" l="1"/>
  <c r="B51" i="31"/>
  <c r="B50" i="31"/>
  <c r="B53" i="31" l="1"/>
  <c r="B7" i="29"/>
  <c r="E7" i="29"/>
  <c r="B8" i="29"/>
  <c r="E8" i="29"/>
  <c r="B9" i="29"/>
  <c r="E9" i="29"/>
  <c r="B10" i="29"/>
  <c r="E10" i="29"/>
  <c r="B11" i="29"/>
  <c r="E11" i="29"/>
  <c r="B12" i="29"/>
  <c r="E12" i="29"/>
  <c r="B13" i="29"/>
  <c r="E13" i="29"/>
  <c r="B14" i="29"/>
  <c r="E14" i="29"/>
  <c r="B15" i="29"/>
  <c r="E15" i="29"/>
  <c r="B16" i="29"/>
  <c r="E16" i="29"/>
  <c r="B17" i="29"/>
  <c r="E17" i="29"/>
  <c r="B18" i="29"/>
  <c r="E18" i="29"/>
  <c r="B19" i="29"/>
  <c r="E19" i="29"/>
  <c r="B20" i="29"/>
  <c r="E20" i="29"/>
  <c r="B21" i="29"/>
  <c r="B22" i="29"/>
  <c r="E22" i="29"/>
  <c r="B23" i="29"/>
  <c r="E23" i="29"/>
  <c r="B24" i="29"/>
  <c r="E24" i="29"/>
  <c r="B25" i="29"/>
  <c r="E25" i="29"/>
  <c r="B26" i="29"/>
  <c r="E26" i="29"/>
  <c r="B27" i="29"/>
  <c r="E27" i="29"/>
  <c r="B28" i="29"/>
  <c r="E28" i="29"/>
  <c r="B29" i="29"/>
  <c r="E29" i="29"/>
  <c r="B30" i="29"/>
  <c r="E30" i="29"/>
  <c r="B31" i="29"/>
  <c r="E31" i="29"/>
  <c r="B32" i="29"/>
  <c r="E32" i="29"/>
  <c r="B33" i="29"/>
  <c r="E33" i="29"/>
  <c r="B34" i="29"/>
  <c r="E34" i="29"/>
  <c r="B35" i="29"/>
  <c r="E35" i="29"/>
  <c r="B36" i="29"/>
  <c r="E36" i="29"/>
  <c r="B37" i="29"/>
  <c r="E37" i="29"/>
  <c r="B38" i="29"/>
  <c r="E38" i="29"/>
  <c r="B39" i="29"/>
  <c r="E39" i="29"/>
  <c r="B40" i="29"/>
  <c r="E40" i="29"/>
  <c r="B41" i="29"/>
  <c r="E41" i="29"/>
  <c r="B42" i="29"/>
  <c r="E42" i="29"/>
  <c r="B43" i="29"/>
  <c r="E43" i="29"/>
  <c r="B44" i="29"/>
  <c r="E44" i="29"/>
  <c r="B45" i="29"/>
  <c r="E45" i="29"/>
  <c r="B46" i="29"/>
  <c r="E46" i="29"/>
  <c r="B47" i="29"/>
  <c r="E47" i="29"/>
  <c r="B48" i="29"/>
  <c r="E48" i="29"/>
  <c r="B49" i="29"/>
  <c r="E49" i="29"/>
  <c r="B50" i="29"/>
  <c r="E50" i="29"/>
  <c r="B51" i="29"/>
  <c r="E51" i="29"/>
  <c r="B52" i="29"/>
  <c r="E52" i="29"/>
  <c r="B53" i="29"/>
  <c r="E53" i="29"/>
  <c r="B54" i="29"/>
  <c r="E54" i="29"/>
  <c r="B55" i="29"/>
  <c r="B56" i="29"/>
  <c r="B57" i="29"/>
  <c r="B62" i="29" l="1"/>
  <c r="B61" i="29"/>
  <c r="E60" i="29"/>
  <c r="E62" i="29"/>
  <c r="E63" i="29" s="1"/>
  <c r="B60" i="29"/>
  <c r="B63" i="29" s="1"/>
  <c r="E61" i="29"/>
  <c r="E45" i="28" l="1"/>
  <c r="E44" i="28"/>
  <c r="E43" i="28"/>
  <c r="B45" i="28"/>
  <c r="B44" i="28"/>
  <c r="B43" i="28"/>
  <c r="E37" i="27"/>
  <c r="B37" i="27"/>
  <c r="E36" i="27"/>
  <c r="B36" i="27"/>
  <c r="E35" i="27"/>
  <c r="B35" i="27"/>
  <c r="E46" i="28" l="1"/>
  <c r="B46" i="28"/>
  <c r="B38" i="27"/>
  <c r="E38" i="27"/>
  <c r="D21" i="25" l="1"/>
  <c r="B21" i="25"/>
  <c r="D14" i="25"/>
  <c r="B14" i="25"/>
  <c r="D7" i="25"/>
  <c r="B7" i="25"/>
  <c r="N13" i="26" l="1"/>
  <c r="O31" i="26"/>
  <c r="O61" i="26"/>
  <c r="O91" i="26"/>
  <c r="G91" i="26"/>
  <c r="E72" i="26"/>
  <c r="E89" i="26" s="1"/>
  <c r="E90" i="26" s="1"/>
  <c r="D72" i="26"/>
  <c r="D89" i="26" s="1"/>
  <c r="D90" i="26" s="1"/>
  <c r="G61" i="26"/>
  <c r="E116" i="26"/>
  <c r="F116" i="26"/>
  <c r="F119" i="26" s="1"/>
  <c r="E117" i="26"/>
  <c r="F117" i="26"/>
  <c r="E118" i="26"/>
  <c r="E119" i="26" s="1"/>
  <c r="F118" i="26"/>
  <c r="D118" i="26"/>
  <c r="D119" i="26" s="1"/>
  <c r="D117" i="26"/>
  <c r="D116" i="26"/>
  <c r="M57" i="26"/>
  <c r="M60" i="26" s="1"/>
  <c r="N57" i="26"/>
  <c r="M58" i="26"/>
  <c r="N58" i="26"/>
  <c r="M59" i="26"/>
  <c r="N59" i="26"/>
  <c r="N60" i="26" s="1"/>
  <c r="L59" i="26"/>
  <c r="L58" i="26"/>
  <c r="L57" i="26"/>
  <c r="F59" i="26"/>
  <c r="E59" i="26"/>
  <c r="D59" i="26"/>
  <c r="D60" i="26" s="1"/>
  <c r="F58" i="26"/>
  <c r="E58" i="26"/>
  <c r="D58" i="26"/>
  <c r="F57" i="26"/>
  <c r="F60" i="26" s="1"/>
  <c r="E57" i="26"/>
  <c r="E60" i="26" s="1"/>
  <c r="D57" i="26"/>
  <c r="G120" i="26"/>
  <c r="O120" i="26"/>
  <c r="M116" i="26"/>
  <c r="M113" i="26"/>
  <c r="N113" i="26" s="1"/>
  <c r="L113" i="26"/>
  <c r="N112" i="26"/>
  <c r="M111" i="26"/>
  <c r="N111" i="26" s="1"/>
  <c r="L111" i="26"/>
  <c r="N110" i="26"/>
  <c r="M109" i="26"/>
  <c r="N109" i="26" s="1"/>
  <c r="L109" i="26"/>
  <c r="N108" i="26"/>
  <c r="M107" i="26"/>
  <c r="N107" i="26" s="1"/>
  <c r="L107" i="26"/>
  <c r="L116" i="26" s="1"/>
  <c r="N106" i="26"/>
  <c r="N105" i="26"/>
  <c r="N104" i="26"/>
  <c r="N103" i="26"/>
  <c r="N102" i="26"/>
  <c r="N101" i="26"/>
  <c r="N100" i="26"/>
  <c r="N99" i="26"/>
  <c r="N98" i="26"/>
  <c r="N97" i="26"/>
  <c r="N96" i="26"/>
  <c r="N95" i="26"/>
  <c r="E88" i="26"/>
  <c r="D88" i="26"/>
  <c r="E87" i="26"/>
  <c r="D87" i="26"/>
  <c r="M84" i="26"/>
  <c r="L84" i="26"/>
  <c r="N83" i="26"/>
  <c r="M82" i="26"/>
  <c r="L82" i="26"/>
  <c r="N81" i="26"/>
  <c r="M80" i="26"/>
  <c r="L80" i="26"/>
  <c r="N79" i="26"/>
  <c r="M78" i="26"/>
  <c r="L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M54" i="26"/>
  <c r="L54" i="26"/>
  <c r="M53" i="26"/>
  <c r="L53" i="26"/>
  <c r="M52" i="26"/>
  <c r="L52" i="26"/>
  <c r="N51" i="26"/>
  <c r="M50" i="26"/>
  <c r="L50" i="26"/>
  <c r="M49" i="26"/>
  <c r="N49" i="26" s="1"/>
  <c r="L49" i="26"/>
  <c r="N48" i="26"/>
  <c r="M47" i="26"/>
  <c r="L47" i="26"/>
  <c r="M46" i="26"/>
  <c r="L46" i="26"/>
  <c r="M45" i="26"/>
  <c r="L45" i="26"/>
  <c r="M44" i="26"/>
  <c r="L44" i="26"/>
  <c r="N43" i="26"/>
  <c r="M42" i="26"/>
  <c r="L42" i="26"/>
  <c r="M41" i="26"/>
  <c r="L41" i="26"/>
  <c r="L40" i="26"/>
  <c r="N40" i="26" s="1"/>
  <c r="M39" i="26"/>
  <c r="L39" i="26"/>
  <c r="M38" i="26"/>
  <c r="L38" i="26"/>
  <c r="M37" i="26"/>
  <c r="L37" i="26"/>
  <c r="N36" i="26"/>
  <c r="M24" i="26"/>
  <c r="L24" i="26"/>
  <c r="M23" i="26"/>
  <c r="L23" i="26"/>
  <c r="M22" i="26"/>
  <c r="L22" i="26"/>
  <c r="N21" i="26"/>
  <c r="M20" i="26"/>
  <c r="L20" i="26"/>
  <c r="L27" i="26" s="1"/>
  <c r="N19" i="26"/>
  <c r="N18" i="26"/>
  <c r="N17" i="26"/>
  <c r="N16" i="26"/>
  <c r="N15" i="26"/>
  <c r="N14" i="26"/>
  <c r="N12" i="26"/>
  <c r="N11" i="26"/>
  <c r="N10" i="26"/>
  <c r="N9" i="26"/>
  <c r="N8" i="26"/>
  <c r="N7" i="26"/>
  <c r="E103" i="26"/>
  <c r="D103" i="26"/>
  <c r="E102" i="26"/>
  <c r="D102" i="26"/>
  <c r="F101" i="26"/>
  <c r="E100" i="26"/>
  <c r="D100" i="26"/>
  <c r="E99" i="26"/>
  <c r="D99" i="26"/>
  <c r="F98" i="26"/>
  <c r="F97" i="26"/>
  <c r="F96" i="26"/>
  <c r="E73" i="26"/>
  <c r="D73" i="26"/>
  <c r="F71" i="26"/>
  <c r="E70" i="26"/>
  <c r="D70" i="26"/>
  <c r="E69" i="26"/>
  <c r="D69" i="26"/>
  <c r="F68" i="26"/>
  <c r="F67" i="26"/>
  <c r="F66" i="26"/>
  <c r="E43" i="26"/>
  <c r="D43" i="26"/>
  <c r="E42" i="26"/>
  <c r="D42" i="26"/>
  <c r="E41" i="26"/>
  <c r="D41" i="26"/>
  <c r="E40" i="26"/>
  <c r="D40" i="26"/>
  <c r="E39" i="26"/>
  <c r="D39" i="26"/>
  <c r="E38" i="26"/>
  <c r="D38" i="26"/>
  <c r="F37" i="26"/>
  <c r="F36" i="26"/>
  <c r="E14" i="26"/>
  <c r="D14" i="26"/>
  <c r="E13" i="26"/>
  <c r="D13" i="26"/>
  <c r="F12" i="26"/>
  <c r="E11" i="26"/>
  <c r="E27" i="26" s="1"/>
  <c r="D11" i="26"/>
  <c r="D28" i="26" s="1"/>
  <c r="F10" i="26"/>
  <c r="F9" i="26"/>
  <c r="F8" i="26"/>
  <c r="F7" i="26"/>
  <c r="M27" i="26" l="1"/>
  <c r="M28" i="26"/>
  <c r="N118" i="26"/>
  <c r="N119" i="26" s="1"/>
  <c r="N116" i="26"/>
  <c r="L117" i="26"/>
  <c r="M117" i="26"/>
  <c r="N117" i="26"/>
  <c r="L118" i="26"/>
  <c r="L119" i="26" s="1"/>
  <c r="M118" i="26"/>
  <c r="M119" i="26" s="1"/>
  <c r="N50" i="26"/>
  <c r="D26" i="26"/>
  <c r="E26" i="26"/>
  <c r="M29" i="26"/>
  <c r="M30" i="26" s="1"/>
  <c r="L88" i="26"/>
  <c r="D27" i="26"/>
  <c r="E28" i="26"/>
  <c r="E29" i="26" s="1"/>
  <c r="L29" i="26"/>
  <c r="L30" i="26" s="1"/>
  <c r="L28" i="26"/>
  <c r="D29" i="26"/>
  <c r="N47" i="26"/>
  <c r="N42" i="26"/>
  <c r="N82" i="26"/>
  <c r="N84" i="26"/>
  <c r="N78" i="26"/>
  <c r="M89" i="26"/>
  <c r="N45" i="26"/>
  <c r="N52" i="26"/>
  <c r="N39" i="26"/>
  <c r="N46" i="26"/>
  <c r="M87" i="26"/>
  <c r="L87" i="26"/>
  <c r="N80" i="26"/>
  <c r="M88" i="26"/>
  <c r="L89" i="26"/>
  <c r="N37" i="26"/>
  <c r="N44" i="26"/>
  <c r="F99" i="26"/>
  <c r="N22" i="26"/>
  <c r="N53" i="26"/>
  <c r="N54" i="26"/>
  <c r="N38" i="26"/>
  <c r="F42" i="26"/>
  <c r="F72" i="26"/>
  <c r="N41" i="26"/>
  <c r="F73" i="26"/>
  <c r="F103" i="26"/>
  <c r="N20" i="26"/>
  <c r="F70" i="26"/>
  <c r="F41" i="26"/>
  <c r="N23" i="26"/>
  <c r="F38" i="26"/>
  <c r="F43" i="26"/>
  <c r="F102" i="26"/>
  <c r="N24" i="26"/>
  <c r="F39" i="26"/>
  <c r="F69" i="26"/>
  <c r="F40" i="26"/>
  <c r="F100" i="26"/>
  <c r="F11" i="26"/>
  <c r="F13" i="26"/>
  <c r="F14" i="26"/>
  <c r="F87" i="26" l="1"/>
  <c r="F88" i="26"/>
  <c r="F89" i="26"/>
  <c r="F90" i="26" s="1"/>
  <c r="F27" i="26"/>
  <c r="N28" i="26"/>
  <c r="F28" i="26"/>
  <c r="N29" i="26"/>
  <c r="F26" i="26"/>
  <c r="N27" i="26"/>
  <c r="L60" i="26"/>
  <c r="N87" i="26"/>
  <c r="L90" i="26"/>
  <c r="M90" i="26"/>
  <c r="N88" i="26"/>
  <c r="N89" i="26"/>
  <c r="N90" i="26" s="1"/>
  <c r="N30" i="26" l="1"/>
  <c r="F29" i="26"/>
  <c r="E6" i="25" l="1"/>
  <c r="E5" i="25"/>
  <c r="C6" i="25"/>
  <c r="C5" i="25"/>
  <c r="C13" i="25"/>
  <c r="C12" i="25"/>
  <c r="C14" i="25" s="1"/>
  <c r="E13" i="25"/>
  <c r="E12" i="25"/>
  <c r="E20" i="25"/>
  <c r="E19" i="25"/>
  <c r="C20" i="25"/>
  <c r="C19" i="25"/>
  <c r="E14" i="25" l="1"/>
  <c r="E21" i="25"/>
  <c r="E7" i="25"/>
  <c r="C7" i="25"/>
  <c r="C21" i="25"/>
  <c r="E36" i="24" l="1"/>
  <c r="E35" i="24"/>
  <c r="E34" i="24"/>
  <c r="B36" i="24"/>
  <c r="B35" i="24"/>
  <c r="B34" i="24"/>
  <c r="E37" i="24" l="1"/>
  <c r="B37" i="24"/>
  <c r="E26" i="16" l="1"/>
  <c r="E8" i="16"/>
  <c r="E26" i="14" l="1"/>
  <c r="E8" i="14"/>
  <c r="E27" i="7" l="1"/>
  <c r="E28" i="7"/>
  <c r="E26" i="7"/>
  <c r="B28" i="7"/>
  <c r="B27" i="7"/>
  <c r="B26" i="7"/>
  <c r="B16" i="7"/>
  <c r="B16" i="8"/>
  <c r="B30" i="8" s="1"/>
  <c r="E29" i="7" l="1"/>
  <c r="B29" i="8"/>
  <c r="B28" i="8"/>
  <c r="B20" i="3" l="1"/>
  <c r="E50" i="5"/>
  <c r="E49" i="5"/>
  <c r="E48" i="5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C97" i="1"/>
  <c r="C98" i="1" s="1"/>
  <c r="D97" i="1"/>
  <c r="E97" i="1"/>
  <c r="E98" i="1" s="1"/>
  <c r="F97" i="1"/>
  <c r="F98" i="1" s="1"/>
  <c r="G97" i="1"/>
  <c r="G98" i="1" s="1"/>
  <c r="H97" i="1"/>
  <c r="I97" i="1"/>
  <c r="J97" i="1"/>
  <c r="J98" i="1" s="1"/>
  <c r="K97" i="1"/>
  <c r="L97" i="1"/>
  <c r="M97" i="1"/>
  <c r="M98" i="1" s="1"/>
  <c r="N97" i="1"/>
  <c r="N98" i="1" s="1"/>
  <c r="O97" i="1"/>
  <c r="O98" i="1" s="1"/>
  <c r="P97" i="1"/>
  <c r="P98" i="1" s="1"/>
  <c r="Q97" i="1"/>
  <c r="Q98" i="1" s="1"/>
  <c r="R97" i="1"/>
  <c r="R98" i="1" s="1"/>
  <c r="S97" i="1"/>
  <c r="T97" i="1"/>
  <c r="T98" i="1" s="1"/>
  <c r="U97" i="1"/>
  <c r="U98" i="1" s="1"/>
  <c r="V97" i="1"/>
  <c r="W97" i="1"/>
  <c r="W98" i="1" s="1"/>
  <c r="X97" i="1"/>
  <c r="X98" i="1" s="1"/>
  <c r="Y97" i="1"/>
  <c r="Y98" i="1" s="1"/>
  <c r="Z97" i="1"/>
  <c r="Z98" i="1" s="1"/>
  <c r="D98" i="1"/>
  <c r="B95" i="1"/>
  <c r="B97" i="1"/>
  <c r="B96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C47" i="1"/>
  <c r="C48" i="1" s="1"/>
  <c r="D47" i="1"/>
  <c r="E47" i="1"/>
  <c r="F47" i="1"/>
  <c r="G47" i="1"/>
  <c r="H47" i="1"/>
  <c r="I47" i="1"/>
  <c r="I48" i="1" s="1"/>
  <c r="J47" i="1"/>
  <c r="K47" i="1"/>
  <c r="L47" i="1"/>
  <c r="M47" i="1"/>
  <c r="N47" i="1"/>
  <c r="N48" i="1" s="1"/>
  <c r="O47" i="1"/>
  <c r="P47" i="1"/>
  <c r="Q47" i="1"/>
  <c r="R47" i="1"/>
  <c r="S47" i="1"/>
  <c r="S48" i="1" s="1"/>
  <c r="T47" i="1"/>
  <c r="T48" i="1" s="1"/>
  <c r="U47" i="1"/>
  <c r="U48" i="1" s="1"/>
  <c r="V47" i="1"/>
  <c r="W47" i="1"/>
  <c r="W48" i="1" s="1"/>
  <c r="X47" i="1"/>
  <c r="X48" i="1" s="1"/>
  <c r="Y47" i="1"/>
  <c r="Y48" i="1" s="1"/>
  <c r="Z47" i="1"/>
  <c r="Z48" i="1" s="1"/>
  <c r="B47" i="1"/>
  <c r="B46" i="1"/>
  <c r="B45" i="1"/>
  <c r="I98" i="1" l="1"/>
  <c r="D48" i="1"/>
  <c r="H98" i="1"/>
  <c r="S98" i="1"/>
  <c r="V98" i="1"/>
  <c r="E51" i="5"/>
  <c r="V48" i="1"/>
  <c r="K98" i="1"/>
  <c r="L98" i="1"/>
  <c r="L48" i="1"/>
  <c r="G48" i="1"/>
  <c r="E48" i="1"/>
  <c r="J48" i="1"/>
  <c r="H48" i="1"/>
  <c r="K48" i="1"/>
  <c r="Q48" i="1"/>
  <c r="P48" i="1"/>
  <c r="F48" i="1"/>
  <c r="R48" i="1"/>
  <c r="O48" i="1"/>
  <c r="M48" i="1"/>
  <c r="E32" i="16" l="1"/>
  <c r="B32" i="16"/>
  <c r="B33" i="16" s="1"/>
  <c r="E31" i="16"/>
  <c r="B31" i="16"/>
  <c r="E30" i="16"/>
  <c r="B30" i="16"/>
  <c r="E33" i="16" l="1"/>
  <c r="E32" i="14"/>
  <c r="B32" i="14"/>
  <c r="E31" i="14"/>
  <c r="B31" i="14"/>
  <c r="E30" i="14"/>
  <c r="B30" i="14"/>
  <c r="B33" i="14" l="1"/>
  <c r="E33" i="14"/>
  <c r="E30" i="8" l="1"/>
  <c r="E29" i="8"/>
  <c r="E28" i="8"/>
  <c r="B31" i="8" l="1"/>
  <c r="E31" i="8"/>
  <c r="B29" i="7"/>
  <c r="E21" i="6" l="1"/>
  <c r="B21" i="6"/>
  <c r="B22" i="6" s="1"/>
  <c r="E20" i="6"/>
  <c r="B20" i="6"/>
  <c r="E19" i="6"/>
  <c r="B19" i="6"/>
  <c r="B50" i="5"/>
  <c r="B49" i="5"/>
  <c r="B48" i="5"/>
  <c r="E22" i="6" l="1"/>
  <c r="B51" i="5"/>
  <c r="C42" i="3" l="1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C44" i="3"/>
  <c r="D44" i="3"/>
  <c r="D45" i="3" s="1"/>
  <c r="E44" i="3"/>
  <c r="E45" i="3" s="1"/>
  <c r="F44" i="3"/>
  <c r="F45" i="3" s="1"/>
  <c r="G44" i="3"/>
  <c r="H44" i="3"/>
  <c r="H45" i="3" s="1"/>
  <c r="I44" i="3"/>
  <c r="J44" i="3"/>
  <c r="J45" i="3" s="1"/>
  <c r="K44" i="3"/>
  <c r="L44" i="3"/>
  <c r="M44" i="3"/>
  <c r="N44" i="3"/>
  <c r="O44" i="3"/>
  <c r="P44" i="3"/>
  <c r="Q44" i="3"/>
  <c r="R44" i="3"/>
  <c r="S44" i="3"/>
  <c r="S45" i="3" s="1"/>
  <c r="T44" i="3"/>
  <c r="T45" i="3" s="1"/>
  <c r="U44" i="3"/>
  <c r="V44" i="3"/>
  <c r="V45" i="3" s="1"/>
  <c r="W44" i="3"/>
  <c r="W45" i="3" s="1"/>
  <c r="X44" i="3"/>
  <c r="Y44" i="3"/>
  <c r="Y45" i="3" s="1"/>
  <c r="Z44" i="3"/>
  <c r="Z45" i="3" s="1"/>
  <c r="C45" i="3"/>
  <c r="G45" i="3"/>
  <c r="R45" i="3"/>
  <c r="B44" i="3"/>
  <c r="B43" i="3"/>
  <c r="B42" i="3"/>
  <c r="C29" i="3"/>
  <c r="D29" i="3" s="1"/>
  <c r="E29" i="3" s="1"/>
  <c r="F29" i="3" s="1"/>
  <c r="G29" i="3" s="1"/>
  <c r="H29" i="3" s="1"/>
  <c r="I29" i="3" s="1"/>
  <c r="J29" i="3" s="1"/>
  <c r="K29" i="3" s="1"/>
  <c r="L29" i="3" s="1"/>
  <c r="M29" i="3" s="1"/>
  <c r="N29" i="3" s="1"/>
  <c r="O29" i="3" s="1"/>
  <c r="P29" i="3" s="1"/>
  <c r="Q29" i="3" s="1"/>
  <c r="R29" i="3" s="1"/>
  <c r="S29" i="3" s="1"/>
  <c r="T29" i="3" s="1"/>
  <c r="U29" i="3" s="1"/>
  <c r="V29" i="3" s="1"/>
  <c r="W29" i="3" s="1"/>
  <c r="X29" i="3" s="1"/>
  <c r="Y29" i="3" s="1"/>
  <c r="Z29" i="3" s="1"/>
  <c r="C28" i="3"/>
  <c r="D28" i="3" s="1"/>
  <c r="E28" i="3" s="1"/>
  <c r="F28" i="3" s="1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X28" i="3" s="1"/>
  <c r="Y28" i="3" s="1"/>
  <c r="Z28" i="3" s="1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C22" i="3"/>
  <c r="D22" i="3"/>
  <c r="E22" i="3"/>
  <c r="F22" i="3"/>
  <c r="G22" i="3"/>
  <c r="G23" i="3" s="1"/>
  <c r="H22" i="3"/>
  <c r="I22" i="3"/>
  <c r="J22" i="3"/>
  <c r="K22" i="3"/>
  <c r="L22" i="3"/>
  <c r="M22" i="3"/>
  <c r="N22" i="3"/>
  <c r="O22" i="3"/>
  <c r="O23" i="3" s="1"/>
  <c r="P22" i="3"/>
  <c r="P23" i="3" s="1"/>
  <c r="Q22" i="3"/>
  <c r="Q23" i="3" s="1"/>
  <c r="R22" i="3"/>
  <c r="R23" i="3" s="1"/>
  <c r="S22" i="3"/>
  <c r="S23" i="3" s="1"/>
  <c r="T22" i="3"/>
  <c r="U22" i="3"/>
  <c r="V22" i="3"/>
  <c r="W22" i="3"/>
  <c r="W23" i="3" s="1"/>
  <c r="X22" i="3"/>
  <c r="Y22" i="3"/>
  <c r="Y23" i="3" s="1"/>
  <c r="Z22" i="3"/>
  <c r="Z23" i="3" s="1"/>
  <c r="B22" i="3"/>
  <c r="B21" i="3"/>
  <c r="C5" i="3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C4" i="3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C54" i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R54" i="1" s="1"/>
  <c r="S54" i="1" s="1"/>
  <c r="T54" i="1" s="1"/>
  <c r="U54" i="1" s="1"/>
  <c r="V54" i="1" s="1"/>
  <c r="W54" i="1" s="1"/>
  <c r="X54" i="1" s="1"/>
  <c r="Y54" i="1" s="1"/>
  <c r="Z54" i="1" s="1"/>
  <c r="C53" i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O45" i="3" l="1"/>
  <c r="Q45" i="3"/>
  <c r="K23" i="3"/>
  <c r="F23" i="3"/>
  <c r="D23" i="3"/>
  <c r="C23" i="3"/>
  <c r="M23" i="3"/>
  <c r="K45" i="3"/>
  <c r="N23" i="3"/>
  <c r="P45" i="3"/>
  <c r="L45" i="3"/>
  <c r="I45" i="3"/>
  <c r="B45" i="3"/>
  <c r="B23" i="3"/>
  <c r="M45" i="3"/>
  <c r="X45" i="3"/>
  <c r="N45" i="3"/>
  <c r="U45" i="3"/>
  <c r="V23" i="3"/>
  <c r="E23" i="3"/>
  <c r="J23" i="3"/>
  <c r="I23" i="3"/>
  <c r="B98" i="1"/>
  <c r="X23" i="3"/>
  <c r="L23" i="3"/>
  <c r="U23" i="3"/>
  <c r="T23" i="3"/>
  <c r="H23" i="3"/>
  <c r="B48" i="1"/>
</calcChain>
</file>

<file path=xl/sharedStrings.xml><?xml version="1.0" encoding="utf-8"?>
<sst xmlns="http://schemas.openxmlformats.org/spreadsheetml/2006/main" count="1808" uniqueCount="469">
  <si>
    <t>n</t>
  </si>
  <si>
    <t>Mean</t>
  </si>
  <si>
    <t>SD</t>
  </si>
  <si>
    <t>SEM</t>
  </si>
  <si>
    <t>Sweeps</t>
  </si>
  <si>
    <t>Wild-Type (WT)</t>
  </si>
  <si>
    <r>
      <rPr>
        <b/>
        <i/>
        <sz val="12"/>
        <rFont val="Arial"/>
        <family val="2"/>
      </rPr>
      <t>Scn1b</t>
    </r>
    <r>
      <rPr>
        <b/>
        <sz val="12"/>
        <rFont val="Arial"/>
        <family val="2"/>
      </rPr>
      <t xml:space="preserve"> Null</t>
    </r>
  </si>
  <si>
    <t>Pyramidal cells</t>
  </si>
  <si>
    <t>PV+ Interneurons</t>
  </si>
  <si>
    <r>
      <t>File Name</t>
    </r>
    <r>
      <rPr>
        <b/>
        <sz val="14"/>
        <rFont val="Arial"/>
        <family val="2"/>
      </rPr>
      <t>\</t>
    </r>
    <r>
      <rPr>
        <b/>
        <sz val="12"/>
        <rFont val="Arial"/>
        <family val="2"/>
      </rPr>
      <t>Current Injection (pA)</t>
    </r>
  </si>
  <si>
    <t>WT</t>
  </si>
  <si>
    <r>
      <t>S</t>
    </r>
    <r>
      <rPr>
        <i/>
        <sz val="12"/>
        <rFont val="Arial"/>
        <family val="2"/>
      </rPr>
      <t>cn1b</t>
    </r>
    <r>
      <rPr>
        <sz val="12"/>
        <rFont val="Arial"/>
        <family val="2"/>
      </rPr>
      <t xml:space="preserve"> Null</t>
    </r>
  </si>
  <si>
    <t>File ID</t>
  </si>
  <si>
    <r>
      <t>Scn1b</t>
    </r>
    <r>
      <rPr>
        <sz val="12"/>
        <rFont val="Arial"/>
        <family val="2"/>
      </rPr>
      <t xml:space="preserve"> Null</t>
    </r>
  </si>
  <si>
    <t>Input-Output Curves of AP firing</t>
  </si>
  <si>
    <t>16o200012</t>
  </si>
  <si>
    <t>16o180002</t>
  </si>
  <si>
    <t>16o180018</t>
  </si>
  <si>
    <t>16n030014</t>
  </si>
  <si>
    <t>16n070016</t>
  </si>
  <si>
    <t>16n070029</t>
  </si>
  <si>
    <t>18o240009</t>
  </si>
  <si>
    <t>18o240022</t>
  </si>
  <si>
    <t>21n220020</t>
  </si>
  <si>
    <t>21d170026</t>
  </si>
  <si>
    <t>12d070046</t>
  </si>
  <si>
    <t>16n040022</t>
  </si>
  <si>
    <t>16n040048</t>
  </si>
  <si>
    <t>16n170024</t>
  </si>
  <si>
    <t>18o290008</t>
  </si>
  <si>
    <t>18n090027</t>
  </si>
  <si>
    <t>18n090040</t>
  </si>
  <si>
    <t>19n170002</t>
  </si>
  <si>
    <t>21n170011</t>
  </si>
  <si>
    <t>21n170021</t>
  </si>
  <si>
    <t>Purkinje cells</t>
  </si>
  <si>
    <t>15d110004</t>
  </si>
  <si>
    <t>15d140014</t>
  </si>
  <si>
    <t>15d140032</t>
  </si>
  <si>
    <t>21d140025</t>
  </si>
  <si>
    <t>Maximum AP Firing Frequency (Hz)</t>
  </si>
  <si>
    <t>Molecular Layer Interneurons</t>
  </si>
  <si>
    <t>Molecular Layer Interneurons (MLIs)</t>
  </si>
  <si>
    <r>
      <rPr>
        <i/>
        <sz val="12"/>
        <color theme="1"/>
        <rFont val="Arial"/>
        <family val="2"/>
      </rPr>
      <t>Scn1b</t>
    </r>
    <r>
      <rPr>
        <sz val="12"/>
        <color theme="1"/>
        <rFont val="Arial"/>
        <family val="2"/>
      </rPr>
      <t xml:space="preserve"> Null</t>
    </r>
  </si>
  <si>
    <t>P = 0.0004 vs WT (Unpaired t test, two-tailed)</t>
  </si>
  <si>
    <t>sIPSC Frequency</t>
  </si>
  <si>
    <t>16n070048</t>
  </si>
  <si>
    <t>17n140004</t>
  </si>
  <si>
    <t>17n140020</t>
  </si>
  <si>
    <t>17n140024</t>
  </si>
  <si>
    <t>17d100019</t>
  </si>
  <si>
    <t>17o160015</t>
  </si>
  <si>
    <t>17o160036</t>
  </si>
  <si>
    <t>17o210017</t>
  </si>
  <si>
    <t>sIPSC Amplitude</t>
  </si>
  <si>
    <t>16n070049</t>
  </si>
  <si>
    <r>
      <t xml:space="preserve">Scn1b </t>
    </r>
    <r>
      <rPr>
        <sz val="12"/>
        <rFont val="Arial"/>
        <family val="2"/>
      </rPr>
      <t>Null</t>
    </r>
  </si>
  <si>
    <t>sIPSCs</t>
  </si>
  <si>
    <t>Inter-event-interval (ms)</t>
  </si>
  <si>
    <t>17o160027</t>
  </si>
  <si>
    <t>sIPSC Amplitude (pA)</t>
  </si>
  <si>
    <t>sEPSC Frequency</t>
  </si>
  <si>
    <t>21d150013</t>
  </si>
  <si>
    <t>21d170039</t>
  </si>
  <si>
    <t>12d070011</t>
  </si>
  <si>
    <t>12d070038</t>
  </si>
  <si>
    <t>12d070054</t>
  </si>
  <si>
    <t>15o190030</t>
  </si>
  <si>
    <t>15d110010</t>
  </si>
  <si>
    <t>sEPSC Amplitude</t>
  </si>
  <si>
    <t>sEPSCs</t>
  </si>
  <si>
    <t>sEPSC Amplitude (pA)</t>
  </si>
  <si>
    <t xml:space="preserve">sEPSC Amplitude </t>
  </si>
  <si>
    <t xml:space="preserve">sIPSC Amplitude </t>
  </si>
  <si>
    <t>sIPSC Freqebcy</t>
  </si>
  <si>
    <t>Maximum Rise Rate (mV/ms)</t>
  </si>
  <si>
    <t>Maximum Decay Rate (mV/ms)</t>
  </si>
  <si>
    <t>16n070017</t>
  </si>
  <si>
    <t>Mouse #</t>
  </si>
  <si>
    <t>P = 0.0027 vs WT (Mann Whitney test, two-tailed)</t>
  </si>
  <si>
    <t>P = 0.026vs WT (Unpaired t test, two-tailed)</t>
  </si>
  <si>
    <t>16o100018</t>
  </si>
  <si>
    <t>16n040037</t>
  </si>
  <si>
    <t>19n170021</t>
  </si>
  <si>
    <t>19n170033</t>
  </si>
  <si>
    <t>16n030045</t>
  </si>
  <si>
    <t>16n070002</t>
  </si>
  <si>
    <t>21n220026</t>
  </si>
  <si>
    <t>16o18c1</t>
  </si>
  <si>
    <t>16o18c3</t>
  </si>
  <si>
    <t>16n07c3</t>
  </si>
  <si>
    <t>16o20c2</t>
  </si>
  <si>
    <t>18o24c9</t>
  </si>
  <si>
    <t>18o24c7</t>
  </si>
  <si>
    <t>21d17c4</t>
  </si>
  <si>
    <t>21n22c8</t>
  </si>
  <si>
    <t>17113c3</t>
  </si>
  <si>
    <t>19129c5</t>
  </si>
  <si>
    <t>19225c5</t>
  </si>
  <si>
    <t>19302c6</t>
  </si>
  <si>
    <t>19302c7</t>
  </si>
  <si>
    <t>19303c4</t>
  </si>
  <si>
    <t>19813c14</t>
  </si>
  <si>
    <t>20116c4</t>
  </si>
  <si>
    <t>20116c7</t>
  </si>
  <si>
    <t>20116c6</t>
  </si>
  <si>
    <t>20129c6</t>
  </si>
  <si>
    <t>20923c3</t>
  </si>
  <si>
    <t>20923c5</t>
  </si>
  <si>
    <t>22106c3</t>
  </si>
  <si>
    <t>15n20c1</t>
  </si>
  <si>
    <t>16319c1</t>
  </si>
  <si>
    <t>16o24c1</t>
  </si>
  <si>
    <t>16n04c4</t>
  </si>
  <si>
    <t>16n17c3</t>
  </si>
  <si>
    <t>17112c2</t>
  </si>
  <si>
    <t>17324c1</t>
  </si>
  <si>
    <t>18o29c7</t>
  </si>
  <si>
    <t>18n09c5</t>
  </si>
  <si>
    <t>18n09c6</t>
  </si>
  <si>
    <t>18n09c10</t>
  </si>
  <si>
    <t>18n09c11</t>
  </si>
  <si>
    <t>18n09c12</t>
  </si>
  <si>
    <t>18n09c13</t>
  </si>
  <si>
    <t>18n09c14</t>
  </si>
  <si>
    <t>19216c1</t>
  </si>
  <si>
    <t>19216c3</t>
  </si>
  <si>
    <t>19220c2</t>
  </si>
  <si>
    <t>19220c7</t>
  </si>
  <si>
    <t>19220c8</t>
  </si>
  <si>
    <t>19n17c1</t>
  </si>
  <si>
    <t>19n17c3</t>
  </si>
  <si>
    <t>19n17c4</t>
  </si>
  <si>
    <t>19n17c7</t>
  </si>
  <si>
    <t>20113c3</t>
  </si>
  <si>
    <t>20127c1</t>
  </si>
  <si>
    <t>20127c3</t>
  </si>
  <si>
    <t>15d14c2</t>
  </si>
  <si>
    <t>16o21c3</t>
  </si>
  <si>
    <t>16n03c1</t>
  </si>
  <si>
    <t>16n03c2</t>
  </si>
  <si>
    <t>16n03c7</t>
  </si>
  <si>
    <t>16n07c1</t>
  </si>
  <si>
    <t>17913c3</t>
  </si>
  <si>
    <t>18o23c5</t>
  </si>
  <si>
    <t>19128c3</t>
  </si>
  <si>
    <t>19128c4</t>
  </si>
  <si>
    <t>19129c8</t>
  </si>
  <si>
    <t>19221c4</t>
  </si>
  <si>
    <t>19225c1</t>
  </si>
  <si>
    <t>19225c8</t>
  </si>
  <si>
    <t>19813c6</t>
  </si>
  <si>
    <t>19813c9</t>
  </si>
  <si>
    <t>19813c12</t>
  </si>
  <si>
    <t>19813c15</t>
  </si>
  <si>
    <t>19n25c2</t>
  </si>
  <si>
    <t>20116c8</t>
  </si>
  <si>
    <t>20129c2</t>
  </si>
  <si>
    <t>Half-width (ms)</t>
  </si>
  <si>
    <t>20924c10</t>
  </si>
  <si>
    <t>21712c4</t>
  </si>
  <si>
    <t>21n17c3</t>
  </si>
  <si>
    <t>21n17c4</t>
  </si>
  <si>
    <t>24d120021</t>
  </si>
  <si>
    <t>File name</t>
  </si>
  <si>
    <t>HCN potentials</t>
  </si>
  <si>
    <t>24d120022</t>
  </si>
  <si>
    <t>Null</t>
  </si>
  <si>
    <t>Sag potentials were (mV) measued at the end of current pulse just before fast capacitance</t>
  </si>
  <si>
    <t>10o21c2</t>
  </si>
  <si>
    <t>25120c2</t>
  </si>
  <si>
    <t>25127c4</t>
  </si>
  <si>
    <t>25211c1</t>
  </si>
  <si>
    <t>25212c2</t>
  </si>
  <si>
    <t>25212c4</t>
  </si>
  <si>
    <t>25219c2</t>
  </si>
  <si>
    <t>25226c4</t>
  </si>
  <si>
    <t>25320c1</t>
  </si>
  <si>
    <t>25320c2</t>
  </si>
  <si>
    <t>16n04c6</t>
  </si>
  <si>
    <t>24d12c2</t>
  </si>
  <si>
    <t>24d12c4</t>
  </si>
  <si>
    <t>24d12c7</t>
  </si>
  <si>
    <t>25109c4</t>
  </si>
  <si>
    <t>25110c1</t>
  </si>
  <si>
    <t>25116c1</t>
  </si>
  <si>
    <t>25116c2</t>
  </si>
  <si>
    <t>25116c3</t>
  </si>
  <si>
    <t>25116c4</t>
  </si>
  <si>
    <t>25225c2</t>
  </si>
  <si>
    <t>25225c3</t>
  </si>
  <si>
    <t>25319c2</t>
  </si>
  <si>
    <t>25402c2</t>
  </si>
  <si>
    <t>25402c4</t>
  </si>
  <si>
    <r>
      <rPr>
        <i/>
        <sz val="12"/>
        <color theme="1"/>
        <rFont val="Arial"/>
        <family val="2"/>
      </rPr>
      <t xml:space="preserve">Scn1b </t>
    </r>
    <r>
      <rPr>
        <sz val="12"/>
        <color theme="1"/>
        <rFont val="Arial"/>
        <family val="2"/>
      </rPr>
      <t>Null</t>
    </r>
  </si>
  <si>
    <t># of cell with spontaneous firing</t>
  </si>
  <si>
    <t xml:space="preserve"># of cells without spontaneous firing </t>
  </si>
  <si>
    <t>Total # of cells</t>
  </si>
  <si>
    <t>Bursting Firing (Spontaneous or evoked)</t>
  </si>
  <si>
    <t># of cells with bursting firing</t>
  </si>
  <si>
    <t># of cells without bursting firing</t>
  </si>
  <si>
    <t>Firing less than 3 APs</t>
  </si>
  <si>
    <t># of cells firing &lt; 3 APs/sweep</t>
  </si>
  <si>
    <t># of cells firing &gt; 3 APs/sweep</t>
  </si>
  <si>
    <t>24 mice</t>
  </si>
  <si>
    <t>P =&lt;0.0001 WT vs Null (Unpaired t test, two-tailed)</t>
  </si>
  <si>
    <t>%</t>
  </si>
  <si>
    <t>p=0.0101 (Fisher's Exact test, two-tailed)</t>
  </si>
  <si>
    <t>253200007, 22</t>
  </si>
  <si>
    <t>253200042-43, 51</t>
  </si>
  <si>
    <t>Synapses</t>
  </si>
  <si>
    <t>ISI (ms)</t>
  </si>
  <si>
    <t>EPSC 1 (pA)</t>
  </si>
  <si>
    <t>EPSC 2 (pA)</t>
  </si>
  <si>
    <t>EPSC2/EPSC1</t>
  </si>
  <si>
    <t>STP</t>
  </si>
  <si>
    <t>CF-PC</t>
  </si>
  <si>
    <t>PPD</t>
  </si>
  <si>
    <t>PPF</t>
  </si>
  <si>
    <t>Climbing fiber-Purkinje cell syapses</t>
  </si>
  <si>
    <t>251270030, 32-33</t>
  </si>
  <si>
    <t>253200002-4, 8, 19, 23</t>
  </si>
  <si>
    <t>253200039, 44, 49-50</t>
  </si>
  <si>
    <t>Inter-Stimulus Interval: 40 ms</t>
  </si>
  <si>
    <t>Inter-Stimulus Interval: 60 ms</t>
  </si>
  <si>
    <t>253200005, 20</t>
  </si>
  <si>
    <t>253200040, 45, 48</t>
  </si>
  <si>
    <t>Inter-Stimulus Interval: 100 ms</t>
  </si>
  <si>
    <t>252200006, 21</t>
  </si>
  <si>
    <t>253200041, 46-47</t>
  </si>
  <si>
    <t>NI</t>
  </si>
  <si>
    <t>24d120010</t>
  </si>
  <si>
    <t>24d120017</t>
  </si>
  <si>
    <t>252250043, 47</t>
  </si>
  <si>
    <t>253190014-15</t>
  </si>
  <si>
    <t>254040018, 19, 25, 44</t>
  </si>
  <si>
    <t>254020053-54</t>
  </si>
  <si>
    <t>254020064, 70</t>
  </si>
  <si>
    <t>24d120005</t>
  </si>
  <si>
    <t>24d120013</t>
  </si>
  <si>
    <t>24d120028</t>
  </si>
  <si>
    <t>252250040, 44, 48</t>
  </si>
  <si>
    <t>253190011, 16</t>
  </si>
  <si>
    <t>254020015, 20, 24, 42</t>
  </si>
  <si>
    <t>254020050, 55</t>
  </si>
  <si>
    <t>254020060, 61, 69</t>
  </si>
  <si>
    <t>24d120008</t>
  </si>
  <si>
    <t>24d120015</t>
  </si>
  <si>
    <t>24d120029</t>
  </si>
  <si>
    <t>252250041, 45</t>
  </si>
  <si>
    <t>253190012, 17</t>
  </si>
  <si>
    <t>253190013, 18</t>
  </si>
  <si>
    <t>254020016, 22, 26</t>
  </si>
  <si>
    <t>254020062, 71</t>
  </si>
  <si>
    <t>% of PPF</t>
  </si>
  <si>
    <t>Inter-Stimulus Interval: 300 ms</t>
  </si>
  <si>
    <t>24d120009</t>
  </si>
  <si>
    <t>24d120016</t>
  </si>
  <si>
    <t>24d120030</t>
  </si>
  <si>
    <t>252250040, 46</t>
  </si>
  <si>
    <t>254020017,23, 27</t>
  </si>
  <si>
    <t>254020063, 72</t>
  </si>
  <si>
    <t>N-I</t>
  </si>
  <si>
    <t>5 mice</t>
  </si>
  <si>
    <t>10 mice</t>
  </si>
  <si>
    <t>9 mice</t>
  </si>
  <si>
    <t>29 mice</t>
  </si>
  <si>
    <t>Mice</t>
  </si>
  <si>
    <t>p=0.0085 (Fisher's Exact Test, two-tailed)</t>
  </si>
  <si>
    <t>p=0.0004 (Fisher's Exact Test, two-tailed)</t>
  </si>
  <si>
    <t>p=0.0781 (Fisher's Exact Test, two-tailed)</t>
  </si>
  <si>
    <t>18o230017</t>
  </si>
  <si>
    <t>24d120046</t>
  </si>
  <si>
    <t>18n090019</t>
  </si>
  <si>
    <t>p=0.0858 (Fisher's Exact Test, two-tailed)</t>
  </si>
  <si>
    <t>Spotaneous AP Firing without including those cells that couldn't fire more than 3 APs</t>
  </si>
  <si>
    <t>p=0.02 (Fisher's Exact test, two-tailed)</t>
  </si>
  <si>
    <t>HCN potential areas</t>
  </si>
  <si>
    <t>HCN potential area</t>
  </si>
  <si>
    <t>Maximum AP Firing Frequency (Hz) of cells that did not have bursing firing</t>
  </si>
  <si>
    <t>20 mice</t>
  </si>
  <si>
    <t>Date</t>
  </si>
  <si>
    <t>Membrane Input-R (MΩ)</t>
  </si>
  <si>
    <t>p=0.0087 (    Mann-Whitney Test)</t>
  </si>
  <si>
    <t>Resting membrane potential</t>
  </si>
  <si>
    <t>Min Current (pA)</t>
  </si>
  <si>
    <t>Purkinje cell</t>
  </si>
  <si>
    <t>Minimum currents required for the intiation of APs.</t>
  </si>
  <si>
    <t>Peak (mV)</t>
  </si>
  <si>
    <t>Peak amplitude of APs</t>
  </si>
  <si>
    <t>Total # of APs</t>
  </si>
  <si>
    <t>p&gt;0.05 (Fisher's Exact Test, two-tailed)</t>
  </si>
  <si>
    <t>Age (days)</t>
  </si>
  <si>
    <t>Cell #</t>
  </si>
  <si>
    <t>Cm (pF) (amplifier)</t>
  </si>
  <si>
    <t>INa (pA) (30 mV)</t>
  </si>
  <si>
    <t>Density (pA/pF)</t>
  </si>
  <si>
    <t>Peak from IV (pA/pF)</t>
  </si>
  <si>
    <t>50ms INa (pA)</t>
  </si>
  <si>
    <t>Denstity 50ms INa (pA/pF)</t>
  </si>
  <si>
    <t>More protocol?</t>
  </si>
  <si>
    <t>Resurgent -40mV (pA)</t>
  </si>
  <si>
    <t>Resurgent density (pA/pF)</t>
  </si>
  <si>
    <t>INa (pA) (0 mV)</t>
  </si>
  <si>
    <t>P18</t>
  </si>
  <si>
    <t>yes</t>
  </si>
  <si>
    <t>KO</t>
  </si>
  <si>
    <t>P14</t>
  </si>
  <si>
    <t>P17</t>
  </si>
  <si>
    <t>P16</t>
  </si>
  <si>
    <t>P19</t>
  </si>
  <si>
    <t>P15</t>
  </si>
  <si>
    <t>n=</t>
  </si>
  <si>
    <t>SE</t>
  </si>
  <si>
    <t>File Name\Current Injection (pA)</t>
  </si>
  <si>
    <t>Input-Output Curves of  regular AP firing</t>
  </si>
  <si>
    <t>Gait Analysis: Measurements and analysis</t>
  </si>
  <si>
    <t>Animal</t>
  </si>
  <si>
    <t>HP Length</t>
  </si>
  <si>
    <t>FP Length</t>
  </si>
  <si>
    <t>HP Width</t>
  </si>
  <si>
    <t>FP Width</t>
  </si>
  <si>
    <t>HP Angle</t>
  </si>
  <si>
    <t>FP Angle</t>
  </si>
  <si>
    <t>WT 4735</t>
  </si>
  <si>
    <t>KO 4765</t>
  </si>
  <si>
    <t>WT 4762</t>
  </si>
  <si>
    <t>KO 4767</t>
  </si>
  <si>
    <t>WT 4766</t>
  </si>
  <si>
    <t>KO 4872</t>
  </si>
  <si>
    <t>WT 4864</t>
  </si>
  <si>
    <t>KO 4953</t>
  </si>
  <si>
    <t>WT 4865</t>
  </si>
  <si>
    <t>KO 4961</t>
  </si>
  <si>
    <t>WT 4867</t>
  </si>
  <si>
    <t>KO 4963</t>
  </si>
  <si>
    <t>WT 4871</t>
  </si>
  <si>
    <t>KO Red</t>
  </si>
  <si>
    <t>WT 4957</t>
  </si>
  <si>
    <t>KO Green</t>
  </si>
  <si>
    <t>WT 4958</t>
  </si>
  <si>
    <t>Mean WT</t>
  </si>
  <si>
    <t>Mean KO</t>
  </si>
  <si>
    <t>SD WT</t>
  </si>
  <si>
    <t>SD KO</t>
  </si>
  <si>
    <t>SEM WT</t>
  </si>
  <si>
    <t>SEM KO</t>
  </si>
  <si>
    <t>T-test</t>
  </si>
  <si>
    <t>&lt; 0.0001</t>
  </si>
  <si>
    <t>Ratios</t>
  </si>
  <si>
    <t>WT Widths</t>
  </si>
  <si>
    <t>WT Angles</t>
  </si>
  <si>
    <t>KO Widths</t>
  </si>
  <si>
    <t>KO Angles</t>
  </si>
  <si>
    <t>Percentage of AISs positive for Nav1.6</t>
  </si>
  <si>
    <t>TAG #</t>
  </si>
  <si>
    <t>GENOTYPE</t>
  </si>
  <si>
    <t>Image #</t>
  </si>
  <si>
    <t># Kv1.2 AIS</t>
  </si>
  <si>
    <t># Nav1.6+</t>
  </si>
  <si>
    <t>% positive</t>
  </si>
  <si>
    <t>Scn1b null</t>
  </si>
  <si>
    <t>n (images)</t>
  </si>
  <si>
    <t>Std. Error of Mean</t>
  </si>
  <si>
    <t>t-test</t>
  </si>
  <si>
    <t>Panel A: Numbers of PCs</t>
  </si>
  <si>
    <t>P = 0.2709</t>
  </si>
  <si>
    <t>Panel B: Numbers of MLIs</t>
  </si>
  <si>
    <t>P = 0.2550</t>
  </si>
  <si>
    <t>Panel C: Numbers of PLIs</t>
  </si>
  <si>
    <t>P = 0.0517</t>
  </si>
  <si>
    <t>Saxitoxin Binding</t>
  </si>
  <si>
    <t>Mean:</t>
  </si>
  <si>
    <t>n = 6</t>
  </si>
  <si>
    <t>null</t>
  </si>
  <si>
    <t>p = 0.6028</t>
  </si>
  <si>
    <t>I-IV</t>
  </si>
  <si>
    <t>I-VI</t>
  </si>
  <si>
    <t>I-VIII</t>
  </si>
  <si>
    <t>II-IV</t>
  </si>
  <si>
    <t>II-VI</t>
  </si>
  <si>
    <t>II-VIII</t>
  </si>
  <si>
    <t>III-IV</t>
  </si>
  <si>
    <t>III-VI</t>
  </si>
  <si>
    <t>III-VIII</t>
  </si>
  <si>
    <t>IV-IV</t>
  </si>
  <si>
    <t>IV-VI</t>
  </si>
  <si>
    <t>IV-VIII</t>
  </si>
  <si>
    <t>V-IV</t>
  </si>
  <si>
    <t>V-VI</t>
  </si>
  <si>
    <t>V-VIII</t>
  </si>
  <si>
    <t>VI-IV</t>
  </si>
  <si>
    <t>VI-VI</t>
  </si>
  <si>
    <t>VI-VIII</t>
  </si>
  <si>
    <t>AIS lengths by lobule</t>
  </si>
  <si>
    <t>Lobule</t>
  </si>
  <si>
    <t>IV</t>
  </si>
  <si>
    <t>VI</t>
  </si>
  <si>
    <t>VIII</t>
  </si>
  <si>
    <t>WT Mean</t>
  </si>
  <si>
    <t>KO Mean</t>
  </si>
  <si>
    <t>P</t>
  </si>
  <si>
    <t>17.07, n=133</t>
  </si>
  <si>
    <t>19.48, n=145</t>
  </si>
  <si>
    <t>&lt;0.0001</t>
  </si>
  <si>
    <t>Combined</t>
  </si>
  <si>
    <t>18.50, n=126</t>
  </si>
  <si>
    <t>19.88, n=176</t>
  </si>
  <si>
    <t>18.88, n=147</t>
  </si>
  <si>
    <t>20.21, n=123</t>
  </si>
  <si>
    <t>18.15, n=406</t>
  </si>
  <si>
    <t>19.76, n=444</t>
  </si>
  <si>
    <t>Panel A: intersections vs radius</t>
  </si>
  <si>
    <t>Radius</t>
  </si>
  <si>
    <t>Panel B: Radii</t>
  </si>
  <si>
    <r>
      <t xml:space="preserve">Scn1b </t>
    </r>
    <r>
      <rPr>
        <sz val="10"/>
        <rFont val="Arial"/>
        <family val="2"/>
      </rPr>
      <t>wildtype</t>
    </r>
  </si>
  <si>
    <r>
      <t xml:space="preserve">Scn1b </t>
    </r>
    <r>
      <rPr>
        <sz val="10"/>
        <rFont val="Arial"/>
        <family val="2"/>
      </rPr>
      <t>null</t>
    </r>
  </si>
  <si>
    <t>P = 0.0032</t>
  </si>
  <si>
    <t>Bone Length Measurements</t>
  </si>
  <si>
    <t>Femur Length (mm)</t>
  </si>
  <si>
    <t>Humerus Length</t>
  </si>
  <si>
    <t>WT 5283</t>
  </si>
  <si>
    <t>WT 5295</t>
  </si>
  <si>
    <t>WT 5292</t>
  </si>
  <si>
    <t>WT 5015</t>
  </si>
  <si>
    <t>WT 5010</t>
  </si>
  <si>
    <t>WT 5086</t>
  </si>
  <si>
    <t>WT SEM</t>
  </si>
  <si>
    <t>KO 5088</t>
  </si>
  <si>
    <t>KO 5087</t>
  </si>
  <si>
    <t>KO 5011</t>
  </si>
  <si>
    <t>KO 5285</t>
  </si>
  <si>
    <t>KO 5292</t>
  </si>
  <si>
    <t>KO 5014</t>
  </si>
  <si>
    <t>KO SEM</t>
  </si>
  <si>
    <t>Relative difference (means): KO relative to WT, proportion and percent</t>
  </si>
  <si>
    <t>Femur</t>
  </si>
  <si>
    <t>Humerus</t>
  </si>
  <si>
    <t>Normalized values for Scn1b null stride width:</t>
  </si>
  <si>
    <t>Normal.</t>
  </si>
  <si>
    <t>StDev</t>
  </si>
  <si>
    <t>Scn1a</t>
  </si>
  <si>
    <t>WT1</t>
  </si>
  <si>
    <t>WT2</t>
  </si>
  <si>
    <t>WT3</t>
  </si>
  <si>
    <t>WT4</t>
  </si>
  <si>
    <t>WT5</t>
  </si>
  <si>
    <t>WT6</t>
  </si>
  <si>
    <t>WT7</t>
  </si>
  <si>
    <t>WT8</t>
  </si>
  <si>
    <t>WT9</t>
  </si>
  <si>
    <t>KO1</t>
  </si>
  <si>
    <t>KO2</t>
  </si>
  <si>
    <t>KO3</t>
  </si>
  <si>
    <t>KO4</t>
  </si>
  <si>
    <t>KO5</t>
  </si>
  <si>
    <t>KO6</t>
  </si>
  <si>
    <t>KO7</t>
  </si>
  <si>
    <t>KO8</t>
  </si>
  <si>
    <t>DeltaCT</t>
  </si>
  <si>
    <t>Normalized Value</t>
  </si>
  <si>
    <t>Average</t>
  </si>
  <si>
    <t>Scn2a</t>
  </si>
  <si>
    <t>Scn3a</t>
  </si>
  <si>
    <t>Scn4a</t>
  </si>
  <si>
    <t>Scn8a</t>
  </si>
  <si>
    <t>Scn9a</t>
  </si>
  <si>
    <t>Scn4b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</si>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</sst>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1"/>
      <color rgb="FF00B050"/>
      <name val="Arial"/>
      <family val="2"/>
    </font>
    <font>
      <i/>
      <sz val="10"/>
      <name val="Arial"/>
      <family val="2"/>
    </font>
    <font>
      <sz val="11"/>
      <color theme="5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5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5" fillId="3" borderId="1" applyNumberFormat="0" applyAlignment="0" applyProtection="0"/>
    <xf numFmtId="0" fontId="24" fillId="4" borderId="0" applyNumberFormat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" fillId="0" borderId="0" xfId="0" applyFont="1" applyAlignment="1">
      <alignment horizontal="right"/>
    </xf>
    <xf numFmtId="0" fontId="13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2" fontId="7" fillId="0" borderId="0" xfId="0" applyNumberFormat="1" applyFont="1"/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14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1" fontId="1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4" fontId="8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9" fillId="0" borderId="0" xfId="0" applyFont="1"/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right"/>
    </xf>
    <xf numFmtId="2" fontId="17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/>
    <xf numFmtId="2" fontId="1" fillId="0" borderId="0" xfId="0" applyNumberFormat="1" applyFont="1"/>
    <xf numFmtId="1" fontId="17" fillId="0" borderId="0" xfId="0" applyNumberFormat="1" applyFont="1" applyAlignment="1">
      <alignment horizontal="center"/>
    </xf>
    <xf numFmtId="1" fontId="17" fillId="0" borderId="0" xfId="0" applyNumberFormat="1" applyFont="1"/>
    <xf numFmtId="2" fontId="17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4" fontId="8" fillId="0" borderId="0" xfId="0" applyNumberFormat="1" applyFont="1"/>
    <xf numFmtId="0" fontId="4" fillId="0" borderId="0" xfId="0" applyFont="1" applyAlignment="1">
      <alignment horizontal="center"/>
    </xf>
    <xf numFmtId="2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1" fontId="1" fillId="0" borderId="0" xfId="0" applyNumberFormat="1" applyFont="1"/>
    <xf numFmtId="0" fontId="2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2" fontId="23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" fontId="7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0" fillId="0" borderId="0" xfId="2" applyFont="1" applyFill="1" applyAlignment="1">
      <alignment horizontal="center"/>
    </xf>
    <xf numFmtId="0" fontId="10" fillId="0" borderId="0" xfId="2" applyFont="1" applyFill="1" applyAlignment="1">
      <alignment horizontal="right"/>
    </xf>
    <xf numFmtId="0" fontId="10" fillId="0" borderId="0" xfId="2" applyFont="1" applyFill="1" applyAlignment="1">
      <alignment textRotation="90"/>
    </xf>
    <xf numFmtId="0" fontId="10" fillId="0" borderId="0" xfId="2" applyFont="1" applyFill="1" applyAlignment="1">
      <alignment wrapText="1"/>
    </xf>
    <xf numFmtId="0" fontId="10" fillId="0" borderId="0" xfId="2" applyFont="1" applyFill="1"/>
    <xf numFmtId="0" fontId="26" fillId="0" borderId="1" xfId="1" applyFont="1" applyFill="1" applyAlignment="1">
      <alignment wrapText="1"/>
    </xf>
    <xf numFmtId="0" fontId="10" fillId="0" borderId="0" xfId="2" applyFont="1" applyFill="1" applyAlignment="1">
      <alignment textRotation="90" wrapText="1"/>
    </xf>
    <xf numFmtId="0" fontId="10" fillId="0" borderId="0" xfId="2" applyFont="1" applyFill="1" applyAlignment="1">
      <alignment textRotation="45"/>
    </xf>
    <xf numFmtId="0" fontId="10" fillId="0" borderId="0" xfId="2" applyFont="1" applyFill="1" applyAlignment="1">
      <alignment textRotation="45" wrapText="1"/>
    </xf>
    <xf numFmtId="14" fontId="8" fillId="0" borderId="0" xfId="0" applyNumberFormat="1" applyFont="1" applyAlignment="1">
      <alignment horizontal="right"/>
    </xf>
    <xf numFmtId="0" fontId="8" fillId="0" borderId="0" xfId="0" quotePrefix="1" applyFont="1"/>
    <xf numFmtId="0" fontId="26" fillId="0" borderId="1" xfId="1" applyFont="1" applyFill="1"/>
    <xf numFmtId="0" fontId="27" fillId="0" borderId="0" xfId="0" applyFont="1"/>
    <xf numFmtId="14" fontId="16" fillId="0" borderId="0" xfId="0" applyNumberFormat="1" applyFont="1"/>
    <xf numFmtId="14" fontId="16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left"/>
    </xf>
    <xf numFmtId="0" fontId="23" fillId="0" borderId="0" xfId="0" applyFont="1"/>
    <xf numFmtId="164" fontId="7" fillId="0" borderId="0" xfId="0" applyNumberFormat="1" applyFont="1" applyAlignment="1">
      <alignment horizontal="left"/>
    </xf>
    <xf numFmtId="0" fontId="28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/>
    </xf>
    <xf numFmtId="164" fontId="0" fillId="0" borderId="0" xfId="0" applyNumberFormat="1"/>
    <xf numFmtId="164" fontId="28" fillId="0" borderId="0" xfId="0" applyNumberFormat="1" applyFont="1"/>
    <xf numFmtId="166" fontId="0" fillId="0" borderId="0" xfId="0" applyNumberFormat="1"/>
    <xf numFmtId="0" fontId="15" fillId="0" borderId="0" xfId="0" applyFont="1" applyAlignment="1">
      <alignment horizontal="center"/>
    </xf>
  </cellXfs>
  <cellStyles count="3">
    <cellStyle name="20% - Accent2" xfId="2" builtinId="34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C249-B1E3-4F41-ACB3-9B925E38CB03}">
  <dimension ref="A1:O117"/>
  <sheetViews>
    <sheetView workbookViewId="0">
      <selection activeCell="P23" sqref="P23"/>
    </sheetView>
  </sheetViews>
  <sheetFormatPr baseColWidth="10" defaultColWidth="8.83203125" defaultRowHeight="15" x14ac:dyDescent="0.2"/>
  <sheetData>
    <row r="1" spans="1:15" x14ac:dyDescent="0.2">
      <c r="A1" s="106" t="s">
        <v>316</v>
      </c>
    </row>
    <row r="3" spans="1:15" x14ac:dyDescent="0.2">
      <c r="A3" t="s">
        <v>317</v>
      </c>
      <c r="B3" t="s">
        <v>318</v>
      </c>
      <c r="C3" t="s">
        <v>319</v>
      </c>
      <c r="D3" t="s">
        <v>320</v>
      </c>
      <c r="E3" t="s">
        <v>321</v>
      </c>
      <c r="F3" t="s">
        <v>322</v>
      </c>
      <c r="G3" t="s">
        <v>323</v>
      </c>
      <c r="I3" t="s">
        <v>317</v>
      </c>
      <c r="J3" t="s">
        <v>318</v>
      </c>
      <c r="K3" t="s">
        <v>319</v>
      </c>
      <c r="L3" t="s">
        <v>320</v>
      </c>
      <c r="M3" t="s">
        <v>321</v>
      </c>
      <c r="N3" t="s">
        <v>322</v>
      </c>
      <c r="O3" t="s">
        <v>323</v>
      </c>
    </row>
    <row r="4" spans="1:15" x14ac:dyDescent="0.2">
      <c r="A4" t="s">
        <v>324</v>
      </c>
      <c r="B4">
        <v>31</v>
      </c>
      <c r="C4">
        <v>29</v>
      </c>
      <c r="D4">
        <v>23</v>
      </c>
      <c r="E4">
        <v>11</v>
      </c>
      <c r="F4">
        <v>72</v>
      </c>
      <c r="G4">
        <v>110</v>
      </c>
      <c r="I4" t="s">
        <v>325</v>
      </c>
      <c r="J4">
        <v>31</v>
      </c>
      <c r="K4">
        <v>49</v>
      </c>
      <c r="L4">
        <v>19</v>
      </c>
      <c r="M4">
        <v>14</v>
      </c>
      <c r="N4">
        <v>91</v>
      </c>
      <c r="O4">
        <v>61</v>
      </c>
    </row>
    <row r="5" spans="1:15" x14ac:dyDescent="0.2">
      <c r="B5">
        <v>34</v>
      </c>
      <c r="C5">
        <v>34</v>
      </c>
      <c r="D5">
        <v>22</v>
      </c>
      <c r="E5">
        <v>10</v>
      </c>
      <c r="F5">
        <v>72</v>
      </c>
      <c r="G5">
        <v>118</v>
      </c>
      <c r="J5">
        <v>30</v>
      </c>
      <c r="K5">
        <v>28</v>
      </c>
      <c r="L5">
        <v>18</v>
      </c>
      <c r="M5">
        <v>15</v>
      </c>
      <c r="N5">
        <v>87</v>
      </c>
      <c r="O5">
        <v>78</v>
      </c>
    </row>
    <row r="6" spans="1:15" x14ac:dyDescent="0.2">
      <c r="B6">
        <v>30</v>
      </c>
      <c r="C6">
        <v>26</v>
      </c>
      <c r="D6">
        <v>22</v>
      </c>
      <c r="E6">
        <v>12</v>
      </c>
      <c r="F6">
        <v>69</v>
      </c>
      <c r="G6">
        <v>99</v>
      </c>
      <c r="J6">
        <v>40</v>
      </c>
      <c r="K6">
        <v>27</v>
      </c>
      <c r="L6">
        <v>19</v>
      </c>
      <c r="M6">
        <v>18</v>
      </c>
      <c r="N6">
        <v>72</v>
      </c>
      <c r="O6">
        <v>101</v>
      </c>
    </row>
    <row r="7" spans="1:15" x14ac:dyDescent="0.2">
      <c r="B7">
        <v>34</v>
      </c>
      <c r="C7">
        <v>34</v>
      </c>
      <c r="D7">
        <v>23</v>
      </c>
      <c r="E7">
        <v>11</v>
      </c>
      <c r="F7">
        <v>68</v>
      </c>
      <c r="G7">
        <v>92</v>
      </c>
      <c r="J7">
        <v>28</v>
      </c>
      <c r="K7">
        <v>35</v>
      </c>
      <c r="L7">
        <v>18</v>
      </c>
      <c r="M7">
        <v>22</v>
      </c>
      <c r="N7">
        <v>79</v>
      </c>
      <c r="O7">
        <v>120</v>
      </c>
    </row>
    <row r="8" spans="1:15" x14ac:dyDescent="0.2">
      <c r="A8" t="s">
        <v>1</v>
      </c>
      <c r="B8">
        <v>32.25</v>
      </c>
      <c r="C8">
        <v>30.75</v>
      </c>
      <c r="D8">
        <v>22.5</v>
      </c>
      <c r="E8">
        <v>11</v>
      </c>
      <c r="F8">
        <v>70.25</v>
      </c>
      <c r="G8">
        <v>104.75</v>
      </c>
      <c r="I8" t="s">
        <v>1</v>
      </c>
      <c r="J8">
        <v>32.25</v>
      </c>
      <c r="K8">
        <v>34.75</v>
      </c>
      <c r="L8">
        <v>18.5</v>
      </c>
      <c r="M8">
        <v>17.25</v>
      </c>
      <c r="N8">
        <v>82.25</v>
      </c>
      <c r="O8">
        <v>90</v>
      </c>
    </row>
    <row r="9" spans="1:15" x14ac:dyDescent="0.2">
      <c r="A9" t="s">
        <v>2</v>
      </c>
      <c r="B9">
        <v>2.0615528128088303</v>
      </c>
      <c r="C9">
        <v>3.9475730941090039</v>
      </c>
      <c r="D9">
        <v>0.57735026918962573</v>
      </c>
      <c r="E9">
        <v>0.81649658092772603</v>
      </c>
      <c r="F9">
        <v>2.0615528128088303</v>
      </c>
      <c r="G9">
        <v>11.528949070347508</v>
      </c>
      <c r="I9" t="s">
        <v>2</v>
      </c>
      <c r="J9">
        <v>5.315072906367325</v>
      </c>
      <c r="K9">
        <v>10.144785195688801</v>
      </c>
      <c r="L9">
        <v>0.57735026918962573</v>
      </c>
      <c r="M9">
        <v>3.5939764421413041</v>
      </c>
      <c r="N9">
        <v>8.4606934309980364</v>
      </c>
      <c r="O9">
        <v>25.858589804292627</v>
      </c>
    </row>
    <row r="10" spans="1:15" x14ac:dyDescent="0.2">
      <c r="A10" t="s">
        <v>3</v>
      </c>
      <c r="B10">
        <v>1.0307764064044151</v>
      </c>
      <c r="C10">
        <v>1.973786547054502</v>
      </c>
      <c r="D10">
        <v>0.28867513459481287</v>
      </c>
      <c r="E10">
        <v>0.40824829046386302</v>
      </c>
      <c r="F10">
        <v>1.0307764064044151</v>
      </c>
      <c r="G10">
        <v>5.7644745351737541</v>
      </c>
      <c r="I10" t="s">
        <v>3</v>
      </c>
      <c r="J10">
        <v>2.6575364531836625</v>
      </c>
      <c r="K10">
        <v>5.0723925978444004</v>
      </c>
      <c r="L10">
        <v>0.28867513459481287</v>
      </c>
      <c r="M10">
        <v>1.796988221070652</v>
      </c>
      <c r="N10">
        <v>4.2303467154990182</v>
      </c>
      <c r="O10">
        <v>12.929294902146314</v>
      </c>
    </row>
    <row r="12" spans="1:15" x14ac:dyDescent="0.2">
      <c r="A12" t="s">
        <v>317</v>
      </c>
      <c r="B12" t="s">
        <v>318</v>
      </c>
      <c r="C12" t="s">
        <v>319</v>
      </c>
      <c r="D12" t="s">
        <v>320</v>
      </c>
      <c r="E12" t="s">
        <v>321</v>
      </c>
      <c r="F12" t="s">
        <v>322</v>
      </c>
      <c r="G12" t="s">
        <v>323</v>
      </c>
      <c r="I12" t="s">
        <v>317</v>
      </c>
      <c r="J12" t="s">
        <v>318</v>
      </c>
      <c r="K12" t="s">
        <v>319</v>
      </c>
      <c r="L12" t="s">
        <v>320</v>
      </c>
      <c r="M12" t="s">
        <v>321</v>
      </c>
      <c r="N12" t="s">
        <v>322</v>
      </c>
      <c r="O12" t="s">
        <v>323</v>
      </c>
    </row>
    <row r="13" spans="1:15" x14ac:dyDescent="0.2">
      <c r="A13" t="s">
        <v>326</v>
      </c>
      <c r="B13">
        <v>38</v>
      </c>
      <c r="C13">
        <v>46</v>
      </c>
      <c r="D13">
        <v>21</v>
      </c>
      <c r="E13">
        <v>13</v>
      </c>
      <c r="F13">
        <v>78</v>
      </c>
      <c r="G13">
        <v>108</v>
      </c>
      <c r="I13" t="s">
        <v>327</v>
      </c>
      <c r="J13">
        <v>26</v>
      </c>
      <c r="K13">
        <v>30</v>
      </c>
      <c r="L13">
        <v>24</v>
      </c>
      <c r="M13">
        <v>25</v>
      </c>
      <c r="N13">
        <v>70</v>
      </c>
      <c r="O13">
        <v>69</v>
      </c>
    </row>
    <row r="14" spans="1:15" x14ac:dyDescent="0.2">
      <c r="B14">
        <v>45</v>
      </c>
      <c r="C14">
        <v>39</v>
      </c>
      <c r="D14">
        <v>21</v>
      </c>
      <c r="E14">
        <v>12</v>
      </c>
      <c r="F14">
        <v>92</v>
      </c>
      <c r="G14">
        <v>121</v>
      </c>
      <c r="J14">
        <v>37</v>
      </c>
      <c r="K14">
        <v>46</v>
      </c>
      <c r="L14">
        <v>23</v>
      </c>
      <c r="M14">
        <v>26</v>
      </c>
      <c r="N14">
        <v>79</v>
      </c>
      <c r="O14">
        <v>92</v>
      </c>
    </row>
    <row r="15" spans="1:15" x14ac:dyDescent="0.2">
      <c r="B15">
        <v>49</v>
      </c>
      <c r="C15">
        <v>38</v>
      </c>
      <c r="D15">
        <v>19</v>
      </c>
      <c r="E15">
        <v>12</v>
      </c>
      <c r="F15">
        <v>102</v>
      </c>
      <c r="G15">
        <v>122</v>
      </c>
      <c r="J15">
        <v>40</v>
      </c>
      <c r="K15">
        <v>33</v>
      </c>
      <c r="L15">
        <v>24</v>
      </c>
      <c r="M15">
        <v>20</v>
      </c>
      <c r="N15">
        <v>78</v>
      </c>
      <c r="O15">
        <v>61</v>
      </c>
    </row>
    <row r="16" spans="1:15" x14ac:dyDescent="0.2">
      <c r="B16">
        <v>34</v>
      </c>
      <c r="C16">
        <v>43</v>
      </c>
      <c r="D16">
        <v>18</v>
      </c>
      <c r="E16">
        <v>13</v>
      </c>
      <c r="F16">
        <v>90</v>
      </c>
      <c r="G16">
        <v>111</v>
      </c>
      <c r="J16">
        <v>33</v>
      </c>
      <c r="K16">
        <v>31</v>
      </c>
      <c r="L16">
        <v>24</v>
      </c>
      <c r="M16">
        <v>20</v>
      </c>
      <c r="N16">
        <v>52</v>
      </c>
      <c r="O16">
        <v>61</v>
      </c>
    </row>
    <row r="17" spans="1:15" x14ac:dyDescent="0.2">
      <c r="A17" t="s">
        <v>1</v>
      </c>
      <c r="B17">
        <v>41.5</v>
      </c>
      <c r="C17">
        <v>41.5</v>
      </c>
      <c r="D17">
        <v>19.75</v>
      </c>
      <c r="E17">
        <v>12.5</v>
      </c>
      <c r="F17">
        <v>90.5</v>
      </c>
      <c r="G17">
        <v>115.5</v>
      </c>
      <c r="I17" t="s">
        <v>1</v>
      </c>
      <c r="J17">
        <v>34</v>
      </c>
      <c r="K17">
        <v>35</v>
      </c>
      <c r="L17">
        <v>23.75</v>
      </c>
      <c r="M17">
        <v>22.75</v>
      </c>
      <c r="N17">
        <v>69.75</v>
      </c>
      <c r="O17">
        <v>70.75</v>
      </c>
    </row>
    <row r="18" spans="1:15" x14ac:dyDescent="0.2">
      <c r="A18" t="s">
        <v>2</v>
      </c>
      <c r="B18">
        <v>6.757711644237764</v>
      </c>
      <c r="C18">
        <v>3.6968455021364721</v>
      </c>
      <c r="D18">
        <v>1.5</v>
      </c>
      <c r="E18">
        <v>0.57735026918962573</v>
      </c>
      <c r="F18">
        <v>9.8488578017961039</v>
      </c>
      <c r="G18">
        <v>7.047458170621991</v>
      </c>
      <c r="I18" t="s">
        <v>2</v>
      </c>
      <c r="J18">
        <v>6.0553007081949835</v>
      </c>
      <c r="K18">
        <v>7.4386378681404661</v>
      </c>
      <c r="L18">
        <v>0.5</v>
      </c>
      <c r="M18">
        <v>3.2015621187164243</v>
      </c>
      <c r="N18">
        <v>12.5</v>
      </c>
      <c r="O18">
        <v>14.660036380127666</v>
      </c>
    </row>
    <row r="19" spans="1:15" x14ac:dyDescent="0.2">
      <c r="A19" t="s">
        <v>3</v>
      </c>
      <c r="B19">
        <v>3.378855822118882</v>
      </c>
      <c r="C19">
        <v>1.8484227510682361</v>
      </c>
      <c r="D19">
        <v>0.75</v>
      </c>
      <c r="E19">
        <v>0.28867513459481287</v>
      </c>
      <c r="F19">
        <v>4.924428900898052</v>
      </c>
      <c r="G19">
        <v>3.5237290853109955</v>
      </c>
      <c r="I19" t="s">
        <v>3</v>
      </c>
      <c r="J19">
        <v>3.0276503540974917</v>
      </c>
      <c r="K19">
        <v>3.7193189340702331</v>
      </c>
      <c r="L19">
        <v>0.25</v>
      </c>
      <c r="M19">
        <v>1.6007810593582121</v>
      </c>
      <c r="N19">
        <v>6.25</v>
      </c>
      <c r="O19">
        <v>7.330018190063833</v>
      </c>
    </row>
    <row r="21" spans="1:15" x14ac:dyDescent="0.2">
      <c r="A21" t="s">
        <v>317</v>
      </c>
      <c r="B21" t="s">
        <v>318</v>
      </c>
      <c r="C21" t="s">
        <v>319</v>
      </c>
      <c r="D21" t="s">
        <v>320</v>
      </c>
      <c r="E21" t="s">
        <v>321</v>
      </c>
      <c r="F21" t="s">
        <v>322</v>
      </c>
      <c r="G21" t="s">
        <v>323</v>
      </c>
      <c r="I21" t="s">
        <v>317</v>
      </c>
      <c r="J21" t="s">
        <v>318</v>
      </c>
      <c r="K21" t="s">
        <v>319</v>
      </c>
      <c r="L21" t="s">
        <v>320</v>
      </c>
      <c r="M21" t="s">
        <v>321</v>
      </c>
      <c r="N21" t="s">
        <v>322</v>
      </c>
      <c r="O21" t="s">
        <v>323</v>
      </c>
    </row>
    <row r="22" spans="1:15" x14ac:dyDescent="0.2">
      <c r="A22" t="s">
        <v>328</v>
      </c>
      <c r="B22">
        <v>41</v>
      </c>
      <c r="C22">
        <v>41</v>
      </c>
      <c r="D22">
        <v>17</v>
      </c>
      <c r="E22">
        <v>11</v>
      </c>
      <c r="F22">
        <v>100</v>
      </c>
      <c r="G22">
        <v>121</v>
      </c>
      <c r="I22" t="s">
        <v>329</v>
      </c>
      <c r="J22">
        <v>39</v>
      </c>
      <c r="K22">
        <v>38</v>
      </c>
      <c r="L22">
        <v>18</v>
      </c>
      <c r="M22">
        <v>15</v>
      </c>
      <c r="N22">
        <v>99</v>
      </c>
      <c r="O22">
        <v>111</v>
      </c>
    </row>
    <row r="23" spans="1:15" x14ac:dyDescent="0.2">
      <c r="B23">
        <v>43</v>
      </c>
      <c r="C23">
        <v>46</v>
      </c>
      <c r="D23">
        <v>16</v>
      </c>
      <c r="E23">
        <v>10</v>
      </c>
      <c r="F23">
        <v>111</v>
      </c>
      <c r="G23">
        <v>122</v>
      </c>
      <c r="J23">
        <v>44</v>
      </c>
      <c r="K23">
        <v>39</v>
      </c>
      <c r="L23">
        <v>18</v>
      </c>
      <c r="M23">
        <v>16</v>
      </c>
      <c r="N23">
        <v>90</v>
      </c>
      <c r="O23">
        <v>99</v>
      </c>
    </row>
    <row r="24" spans="1:15" x14ac:dyDescent="0.2">
      <c r="B24">
        <v>40</v>
      </c>
      <c r="C24">
        <v>43</v>
      </c>
      <c r="D24">
        <v>17</v>
      </c>
      <c r="E24">
        <v>9</v>
      </c>
      <c r="F24">
        <v>102</v>
      </c>
      <c r="G24">
        <v>132</v>
      </c>
      <c r="J24">
        <v>38</v>
      </c>
      <c r="K24">
        <v>38</v>
      </c>
      <c r="L24">
        <v>19</v>
      </c>
      <c r="M24">
        <v>17</v>
      </c>
      <c r="N24">
        <v>90</v>
      </c>
      <c r="O24">
        <v>98</v>
      </c>
    </row>
    <row r="25" spans="1:15" x14ac:dyDescent="0.2">
      <c r="B25">
        <v>47</v>
      </c>
      <c r="C25">
        <v>42</v>
      </c>
      <c r="D25">
        <v>18</v>
      </c>
      <c r="E25">
        <v>11</v>
      </c>
      <c r="F25">
        <v>97</v>
      </c>
      <c r="G25">
        <v>121</v>
      </c>
      <c r="J25">
        <v>48</v>
      </c>
      <c r="K25">
        <v>38</v>
      </c>
      <c r="L25">
        <v>18</v>
      </c>
      <c r="M25">
        <v>17</v>
      </c>
      <c r="N25">
        <v>99</v>
      </c>
      <c r="O25">
        <v>96</v>
      </c>
    </row>
    <row r="26" spans="1:15" x14ac:dyDescent="0.2">
      <c r="A26" t="s">
        <v>1</v>
      </c>
      <c r="B26">
        <v>42.75</v>
      </c>
      <c r="C26">
        <v>43</v>
      </c>
      <c r="D26">
        <v>17</v>
      </c>
      <c r="E26">
        <v>10.25</v>
      </c>
      <c r="F26">
        <v>102.5</v>
      </c>
      <c r="G26">
        <v>124</v>
      </c>
      <c r="I26" t="s">
        <v>1</v>
      </c>
      <c r="J26">
        <v>42.25</v>
      </c>
      <c r="K26">
        <v>38.25</v>
      </c>
      <c r="L26">
        <v>18.25</v>
      </c>
      <c r="M26">
        <v>16.25</v>
      </c>
      <c r="N26">
        <v>94.5</v>
      </c>
      <c r="O26">
        <v>101</v>
      </c>
    </row>
    <row r="27" spans="1:15" x14ac:dyDescent="0.2">
      <c r="A27" t="s">
        <v>2</v>
      </c>
      <c r="B27">
        <v>3.0956959368344519</v>
      </c>
      <c r="C27">
        <v>2.1602468994692869</v>
      </c>
      <c r="D27">
        <v>0.81649658092772603</v>
      </c>
      <c r="E27">
        <v>0.9574271077563381</v>
      </c>
      <c r="F27">
        <v>6.0277137733417083</v>
      </c>
      <c r="G27">
        <v>5.3541261347363367</v>
      </c>
      <c r="I27" t="s">
        <v>2</v>
      </c>
      <c r="J27">
        <v>4.6457866215887842</v>
      </c>
      <c r="K27">
        <v>0.5</v>
      </c>
      <c r="L27">
        <v>0.5</v>
      </c>
      <c r="M27">
        <v>0.9574271077563381</v>
      </c>
      <c r="N27">
        <v>5.196152422706632</v>
      </c>
      <c r="O27">
        <v>6.7823299831252681</v>
      </c>
    </row>
    <row r="28" spans="1:15" x14ac:dyDescent="0.2">
      <c r="A28" t="s">
        <v>3</v>
      </c>
      <c r="B28">
        <v>1.5478479684172259</v>
      </c>
      <c r="C28">
        <v>1.0801234497346435</v>
      </c>
      <c r="D28">
        <v>0.40824829046386302</v>
      </c>
      <c r="E28">
        <v>0.47871355387816905</v>
      </c>
      <c r="F28">
        <v>3.0138568866708542</v>
      </c>
      <c r="G28">
        <v>2.6770630673681683</v>
      </c>
      <c r="I28" t="s">
        <v>3</v>
      </c>
      <c r="J28">
        <v>2.3228933107943921</v>
      </c>
      <c r="K28">
        <v>0.25</v>
      </c>
      <c r="L28">
        <v>0.25</v>
      </c>
      <c r="M28">
        <v>0.47871355387816905</v>
      </c>
      <c r="N28">
        <v>2.598076211353316</v>
      </c>
      <c r="O28">
        <v>3.3911649915626341</v>
      </c>
    </row>
    <row r="30" spans="1:15" x14ac:dyDescent="0.2">
      <c r="A30" t="s">
        <v>317</v>
      </c>
      <c r="B30" t="s">
        <v>318</v>
      </c>
      <c r="C30" t="s">
        <v>319</v>
      </c>
      <c r="D30" t="s">
        <v>320</v>
      </c>
      <c r="E30" t="s">
        <v>321</v>
      </c>
      <c r="F30" t="s">
        <v>322</v>
      </c>
      <c r="G30" t="s">
        <v>323</v>
      </c>
      <c r="I30" t="s">
        <v>317</v>
      </c>
      <c r="J30" t="s">
        <v>318</v>
      </c>
      <c r="K30" t="s">
        <v>319</v>
      </c>
      <c r="L30" t="s">
        <v>320</v>
      </c>
      <c r="M30" t="s">
        <v>321</v>
      </c>
      <c r="N30" t="s">
        <v>322</v>
      </c>
      <c r="O30" t="s">
        <v>323</v>
      </c>
    </row>
    <row r="31" spans="1:15" x14ac:dyDescent="0.2">
      <c r="A31" t="s">
        <v>330</v>
      </c>
      <c r="B31">
        <v>32</v>
      </c>
      <c r="C31">
        <v>38</v>
      </c>
      <c r="D31">
        <v>15</v>
      </c>
      <c r="E31">
        <v>11</v>
      </c>
      <c r="F31">
        <v>90</v>
      </c>
      <c r="G31">
        <v>129</v>
      </c>
      <c r="I31" t="s">
        <v>331</v>
      </c>
      <c r="J31">
        <v>25</v>
      </c>
      <c r="K31">
        <v>30</v>
      </c>
      <c r="L31">
        <v>22</v>
      </c>
      <c r="M31">
        <v>19</v>
      </c>
      <c r="N31">
        <v>73</v>
      </c>
      <c r="O31">
        <v>70</v>
      </c>
    </row>
    <row r="32" spans="1:15" x14ac:dyDescent="0.2">
      <c r="B32">
        <v>40</v>
      </c>
      <c r="C32">
        <v>32</v>
      </c>
      <c r="D32">
        <v>15</v>
      </c>
      <c r="E32">
        <v>9</v>
      </c>
      <c r="F32">
        <v>99</v>
      </c>
      <c r="G32">
        <v>129</v>
      </c>
      <c r="J32">
        <v>35</v>
      </c>
      <c r="K32">
        <v>32</v>
      </c>
      <c r="L32">
        <v>26</v>
      </c>
      <c r="M32">
        <v>17</v>
      </c>
      <c r="N32">
        <v>59</v>
      </c>
      <c r="O32">
        <v>79</v>
      </c>
    </row>
    <row r="33" spans="1:15" x14ac:dyDescent="0.2">
      <c r="B33">
        <v>37</v>
      </c>
      <c r="C33">
        <v>37</v>
      </c>
      <c r="D33">
        <v>14</v>
      </c>
      <c r="E33">
        <v>9</v>
      </c>
      <c r="F33">
        <v>109</v>
      </c>
      <c r="G33">
        <v>130</v>
      </c>
      <c r="J33">
        <v>34</v>
      </c>
      <c r="K33">
        <v>30</v>
      </c>
      <c r="L33">
        <v>19</v>
      </c>
      <c r="M33">
        <v>16</v>
      </c>
      <c r="N33">
        <v>71</v>
      </c>
      <c r="O33">
        <v>94</v>
      </c>
    </row>
    <row r="34" spans="1:15" x14ac:dyDescent="0.2">
      <c r="B34">
        <v>26</v>
      </c>
      <c r="C34">
        <v>26</v>
      </c>
      <c r="D34">
        <v>17</v>
      </c>
      <c r="E34">
        <v>11</v>
      </c>
      <c r="F34">
        <v>78</v>
      </c>
      <c r="G34">
        <v>108</v>
      </c>
      <c r="J34">
        <v>33</v>
      </c>
      <c r="K34">
        <v>36</v>
      </c>
      <c r="L34">
        <v>26</v>
      </c>
      <c r="M34">
        <v>21</v>
      </c>
      <c r="N34">
        <v>79</v>
      </c>
      <c r="O34">
        <v>72</v>
      </c>
    </row>
    <row r="35" spans="1:15" x14ac:dyDescent="0.2">
      <c r="A35" t="s">
        <v>1</v>
      </c>
      <c r="B35">
        <v>33.75</v>
      </c>
      <c r="C35">
        <v>33.25</v>
      </c>
      <c r="D35">
        <v>15.25</v>
      </c>
      <c r="E35">
        <v>10</v>
      </c>
      <c r="F35">
        <v>94</v>
      </c>
      <c r="G35">
        <v>124</v>
      </c>
      <c r="I35" t="s">
        <v>1</v>
      </c>
      <c r="J35">
        <v>31.75</v>
      </c>
      <c r="K35">
        <v>32</v>
      </c>
      <c r="L35">
        <v>23.25</v>
      </c>
      <c r="M35">
        <v>18.25</v>
      </c>
      <c r="N35">
        <v>70.5</v>
      </c>
      <c r="O35">
        <v>78.75</v>
      </c>
    </row>
    <row r="36" spans="1:15" x14ac:dyDescent="0.2">
      <c r="A36" t="s">
        <v>2</v>
      </c>
      <c r="B36">
        <v>6.1305247192498404</v>
      </c>
      <c r="C36">
        <v>5.5</v>
      </c>
      <c r="D36">
        <v>1.2583057392117916</v>
      </c>
      <c r="E36">
        <v>1.1547005383792515</v>
      </c>
      <c r="F36">
        <v>13.19090595827292</v>
      </c>
      <c r="G36">
        <v>10.677078252031311</v>
      </c>
      <c r="I36" t="s">
        <v>2</v>
      </c>
      <c r="J36">
        <v>4.5734742446707477</v>
      </c>
      <c r="K36">
        <v>2.8284271247461903</v>
      </c>
      <c r="L36">
        <v>3.4034296427770228</v>
      </c>
      <c r="M36">
        <v>2.2173557826083452</v>
      </c>
      <c r="N36">
        <v>8.3864970836060824</v>
      </c>
      <c r="O36">
        <v>10.874281585465774</v>
      </c>
    </row>
    <row r="37" spans="1:15" x14ac:dyDescent="0.2">
      <c r="A37" t="s">
        <v>3</v>
      </c>
      <c r="B37">
        <v>3.0652623596249202</v>
      </c>
      <c r="C37">
        <v>2.75</v>
      </c>
      <c r="D37">
        <v>0.62915286960589578</v>
      </c>
      <c r="E37">
        <v>0.57735026918962573</v>
      </c>
      <c r="F37">
        <v>6.5954529791364598</v>
      </c>
      <c r="G37">
        <v>5.3385391260156556</v>
      </c>
      <c r="I37" t="s">
        <v>3</v>
      </c>
      <c r="J37">
        <v>2.2867371223353739</v>
      </c>
      <c r="K37">
        <v>1.4142135623730951</v>
      </c>
      <c r="L37">
        <v>1.7017148213885114</v>
      </c>
      <c r="M37">
        <v>1.1086778913041726</v>
      </c>
      <c r="N37">
        <v>4.1932485418030412</v>
      </c>
      <c r="O37">
        <v>5.4371407927328868</v>
      </c>
    </row>
    <row r="39" spans="1:15" x14ac:dyDescent="0.2">
      <c r="A39" t="s">
        <v>317</v>
      </c>
      <c r="B39" t="s">
        <v>318</v>
      </c>
      <c r="C39" t="s">
        <v>319</v>
      </c>
      <c r="D39" t="s">
        <v>320</v>
      </c>
      <c r="E39" t="s">
        <v>321</v>
      </c>
      <c r="F39" t="s">
        <v>322</v>
      </c>
      <c r="G39" t="s">
        <v>323</v>
      </c>
      <c r="I39" t="s">
        <v>317</v>
      </c>
      <c r="J39" t="s">
        <v>318</v>
      </c>
      <c r="K39" t="s">
        <v>319</v>
      </c>
      <c r="L39" t="s">
        <v>320</v>
      </c>
      <c r="M39" t="s">
        <v>321</v>
      </c>
      <c r="N39" t="s">
        <v>322</v>
      </c>
      <c r="O39" t="s">
        <v>323</v>
      </c>
    </row>
    <row r="40" spans="1:15" x14ac:dyDescent="0.2">
      <c r="A40" t="s">
        <v>332</v>
      </c>
      <c r="B40">
        <v>38</v>
      </c>
      <c r="C40">
        <v>36</v>
      </c>
      <c r="D40">
        <v>22</v>
      </c>
      <c r="E40">
        <v>12</v>
      </c>
      <c r="F40">
        <v>70</v>
      </c>
      <c r="G40">
        <v>115</v>
      </c>
      <c r="I40" t="s">
        <v>333</v>
      </c>
      <c r="J40">
        <v>30</v>
      </c>
      <c r="K40">
        <v>32</v>
      </c>
      <c r="L40">
        <v>16</v>
      </c>
      <c r="M40">
        <v>12</v>
      </c>
      <c r="N40">
        <v>83</v>
      </c>
      <c r="O40">
        <v>90</v>
      </c>
    </row>
    <row r="41" spans="1:15" x14ac:dyDescent="0.2">
      <c r="B41">
        <v>41</v>
      </c>
      <c r="C41">
        <v>41</v>
      </c>
      <c r="D41">
        <v>22</v>
      </c>
      <c r="E41">
        <v>12</v>
      </c>
      <c r="F41">
        <v>80</v>
      </c>
      <c r="G41">
        <v>109</v>
      </c>
      <c r="J41">
        <v>32</v>
      </c>
      <c r="K41">
        <v>31</v>
      </c>
      <c r="L41">
        <v>17</v>
      </c>
      <c r="M41">
        <v>13</v>
      </c>
      <c r="N41">
        <v>87</v>
      </c>
      <c r="O41">
        <v>100</v>
      </c>
    </row>
    <row r="42" spans="1:15" x14ac:dyDescent="0.2">
      <c r="B42">
        <v>31</v>
      </c>
      <c r="C42">
        <v>38</v>
      </c>
      <c r="D42">
        <v>22</v>
      </c>
      <c r="E42">
        <v>13</v>
      </c>
      <c r="F42">
        <v>81</v>
      </c>
      <c r="G42">
        <v>101</v>
      </c>
      <c r="J42">
        <v>28</v>
      </c>
      <c r="K42">
        <v>31</v>
      </c>
      <c r="L42">
        <v>18</v>
      </c>
      <c r="M42">
        <v>14</v>
      </c>
      <c r="N42">
        <v>88</v>
      </c>
      <c r="O42">
        <v>91</v>
      </c>
    </row>
    <row r="43" spans="1:15" x14ac:dyDescent="0.2">
      <c r="B43">
        <v>39</v>
      </c>
      <c r="C43">
        <v>38</v>
      </c>
      <c r="D43">
        <v>21</v>
      </c>
      <c r="E43">
        <v>13</v>
      </c>
      <c r="F43">
        <v>85</v>
      </c>
      <c r="G43">
        <v>104</v>
      </c>
      <c r="J43">
        <v>31</v>
      </c>
      <c r="K43">
        <v>28</v>
      </c>
      <c r="L43">
        <v>18</v>
      </c>
      <c r="M43">
        <v>13</v>
      </c>
      <c r="N43">
        <v>88</v>
      </c>
      <c r="O43">
        <v>91</v>
      </c>
    </row>
    <row r="44" spans="1:15" x14ac:dyDescent="0.2">
      <c r="A44" t="s">
        <v>1</v>
      </c>
      <c r="B44">
        <v>37.25</v>
      </c>
      <c r="C44">
        <v>38.25</v>
      </c>
      <c r="D44">
        <v>21.75</v>
      </c>
      <c r="E44">
        <v>12.5</v>
      </c>
      <c r="F44">
        <v>79</v>
      </c>
      <c r="G44">
        <v>107.25</v>
      </c>
      <c r="I44" t="s">
        <v>1</v>
      </c>
      <c r="J44">
        <v>30.25</v>
      </c>
      <c r="K44">
        <v>30.5</v>
      </c>
      <c r="L44">
        <v>17.25</v>
      </c>
      <c r="M44">
        <v>13</v>
      </c>
      <c r="N44">
        <v>86.5</v>
      </c>
      <c r="O44">
        <v>93</v>
      </c>
    </row>
    <row r="45" spans="1:15" x14ac:dyDescent="0.2">
      <c r="A45" t="s">
        <v>2</v>
      </c>
      <c r="B45">
        <v>4.349329450233296</v>
      </c>
      <c r="C45">
        <v>2.0615528128088303</v>
      </c>
      <c r="D45">
        <v>0.5</v>
      </c>
      <c r="E45">
        <v>0.57735026918962573</v>
      </c>
      <c r="F45">
        <v>6.3770421565696633</v>
      </c>
      <c r="G45">
        <v>6.1305247192498404</v>
      </c>
      <c r="I45" t="s">
        <v>2</v>
      </c>
      <c r="J45">
        <v>1.707825127659933</v>
      </c>
      <c r="K45">
        <v>1.7320508075688772</v>
      </c>
      <c r="L45">
        <v>0.9574271077563381</v>
      </c>
      <c r="M45">
        <v>0.81649658092772603</v>
      </c>
      <c r="N45">
        <v>2.3804761428476167</v>
      </c>
      <c r="O45">
        <v>4.6904157598234297</v>
      </c>
    </row>
    <row r="46" spans="1:15" x14ac:dyDescent="0.2">
      <c r="A46" t="s">
        <v>3</v>
      </c>
      <c r="B46">
        <v>2.174664725116648</v>
      </c>
      <c r="C46">
        <v>1.0307764064044151</v>
      </c>
      <c r="D46">
        <v>0.25</v>
      </c>
      <c r="E46">
        <v>0.28867513459481287</v>
      </c>
      <c r="F46">
        <v>3.1885210782848317</v>
      </c>
      <c r="G46">
        <v>3.0652623596249202</v>
      </c>
      <c r="I46" t="s">
        <v>3</v>
      </c>
      <c r="J46">
        <v>0.8539125638299665</v>
      </c>
      <c r="K46">
        <v>0.8660254037844386</v>
      </c>
      <c r="L46">
        <v>0.47871355387816905</v>
      </c>
      <c r="M46">
        <v>0.40824829046386302</v>
      </c>
      <c r="N46">
        <v>1.1902380714238083</v>
      </c>
      <c r="O46">
        <v>2.3452078799117149</v>
      </c>
    </row>
    <row r="48" spans="1:15" x14ac:dyDescent="0.2">
      <c r="A48" t="s">
        <v>317</v>
      </c>
      <c r="B48" t="s">
        <v>318</v>
      </c>
      <c r="C48" t="s">
        <v>319</v>
      </c>
      <c r="D48" t="s">
        <v>320</v>
      </c>
      <c r="E48" t="s">
        <v>321</v>
      </c>
      <c r="F48" t="s">
        <v>322</v>
      </c>
      <c r="G48" t="s">
        <v>323</v>
      </c>
      <c r="I48" t="s">
        <v>317</v>
      </c>
      <c r="J48" t="s">
        <v>318</v>
      </c>
      <c r="K48" t="s">
        <v>319</v>
      </c>
      <c r="L48" t="s">
        <v>320</v>
      </c>
      <c r="M48" t="s">
        <v>321</v>
      </c>
      <c r="N48" t="s">
        <v>322</v>
      </c>
      <c r="O48" t="s">
        <v>323</v>
      </c>
    </row>
    <row r="49" spans="1:15" x14ac:dyDescent="0.2">
      <c r="A49" t="s">
        <v>334</v>
      </c>
      <c r="B49">
        <v>36</v>
      </c>
      <c r="C49">
        <v>35</v>
      </c>
      <c r="D49">
        <v>20</v>
      </c>
      <c r="E49">
        <v>11</v>
      </c>
      <c r="F49">
        <v>79</v>
      </c>
      <c r="G49">
        <v>111</v>
      </c>
      <c r="I49" t="s">
        <v>335</v>
      </c>
      <c r="J49">
        <v>35</v>
      </c>
      <c r="K49">
        <v>33</v>
      </c>
      <c r="L49">
        <v>20</v>
      </c>
      <c r="M49">
        <v>21</v>
      </c>
      <c r="N49">
        <v>80</v>
      </c>
      <c r="O49">
        <v>71</v>
      </c>
    </row>
    <row r="50" spans="1:15" x14ac:dyDescent="0.2">
      <c r="B50">
        <v>34</v>
      </c>
      <c r="C50">
        <v>33</v>
      </c>
      <c r="D50">
        <v>20</v>
      </c>
      <c r="E50">
        <v>13</v>
      </c>
      <c r="F50">
        <v>80</v>
      </c>
      <c r="G50">
        <v>109</v>
      </c>
      <c r="J50">
        <v>33</v>
      </c>
      <c r="K50">
        <v>33</v>
      </c>
      <c r="L50">
        <v>22</v>
      </c>
      <c r="M50">
        <v>18</v>
      </c>
      <c r="N50">
        <v>57</v>
      </c>
      <c r="O50">
        <v>69</v>
      </c>
    </row>
    <row r="51" spans="1:15" x14ac:dyDescent="0.2">
      <c r="B51">
        <v>34</v>
      </c>
      <c r="C51">
        <v>35</v>
      </c>
      <c r="D51">
        <v>21</v>
      </c>
      <c r="E51">
        <v>14</v>
      </c>
      <c r="F51">
        <v>77</v>
      </c>
      <c r="G51">
        <v>95</v>
      </c>
      <c r="J51">
        <v>22</v>
      </c>
      <c r="K51">
        <v>28</v>
      </c>
      <c r="L51">
        <v>20</v>
      </c>
      <c r="M51">
        <v>13</v>
      </c>
      <c r="N51">
        <v>79</v>
      </c>
      <c r="O51">
        <v>108</v>
      </c>
    </row>
    <row r="52" spans="1:15" x14ac:dyDescent="0.2">
      <c r="B52">
        <v>35</v>
      </c>
      <c r="C52">
        <v>32</v>
      </c>
      <c r="D52">
        <v>21</v>
      </c>
      <c r="E52">
        <v>12</v>
      </c>
      <c r="F52">
        <v>79</v>
      </c>
      <c r="G52">
        <v>102</v>
      </c>
      <c r="J52">
        <v>40</v>
      </c>
      <c r="K52">
        <v>43</v>
      </c>
      <c r="L52">
        <v>22</v>
      </c>
      <c r="M52">
        <v>15</v>
      </c>
      <c r="N52">
        <v>85</v>
      </c>
      <c r="O52">
        <v>102</v>
      </c>
    </row>
    <row r="53" spans="1:15" x14ac:dyDescent="0.2">
      <c r="A53" t="s">
        <v>1</v>
      </c>
      <c r="B53">
        <v>34.75</v>
      </c>
      <c r="C53">
        <v>33.75</v>
      </c>
      <c r="D53">
        <v>20.5</v>
      </c>
      <c r="E53">
        <v>12.5</v>
      </c>
      <c r="F53">
        <v>78.75</v>
      </c>
      <c r="G53">
        <v>104.25</v>
      </c>
      <c r="I53" t="s">
        <v>1</v>
      </c>
      <c r="J53">
        <v>32.5</v>
      </c>
      <c r="K53">
        <v>34.25</v>
      </c>
      <c r="L53">
        <v>21</v>
      </c>
      <c r="M53">
        <v>16.75</v>
      </c>
      <c r="N53">
        <v>75.25</v>
      </c>
      <c r="O53">
        <v>87.5</v>
      </c>
    </row>
    <row r="54" spans="1:15" x14ac:dyDescent="0.2">
      <c r="A54" t="s">
        <v>2</v>
      </c>
      <c r="B54">
        <v>0.9574271077563381</v>
      </c>
      <c r="C54">
        <v>1.5</v>
      </c>
      <c r="D54">
        <v>0.57735026918962573</v>
      </c>
      <c r="E54">
        <v>1.2909944487358056</v>
      </c>
      <c r="F54">
        <v>1.2583057392117916</v>
      </c>
      <c r="G54">
        <v>7.2743842809317316</v>
      </c>
      <c r="I54" t="s">
        <v>2</v>
      </c>
      <c r="J54">
        <v>7.5938571665963446</v>
      </c>
      <c r="K54">
        <v>6.2915286960589585</v>
      </c>
      <c r="L54">
        <v>1.1547005383792515</v>
      </c>
      <c r="M54">
        <v>3.5</v>
      </c>
      <c r="N54">
        <v>12.446552400832395</v>
      </c>
      <c r="O54">
        <v>20.371548787463361</v>
      </c>
    </row>
    <row r="55" spans="1:15" x14ac:dyDescent="0.2">
      <c r="A55" t="s">
        <v>3</v>
      </c>
      <c r="B55">
        <v>0.47871355387816905</v>
      </c>
      <c r="C55">
        <v>0.75</v>
      </c>
      <c r="D55">
        <v>0.28867513459481287</v>
      </c>
      <c r="E55">
        <v>0.6454972243679028</v>
      </c>
      <c r="F55">
        <v>0.62915286960589578</v>
      </c>
      <c r="G55">
        <v>3.6371921404658658</v>
      </c>
      <c r="I55" t="s">
        <v>3</v>
      </c>
      <c r="J55">
        <v>3.7969285832981723</v>
      </c>
      <c r="K55">
        <v>3.1457643480294792</v>
      </c>
      <c r="L55">
        <v>0.57735026918962573</v>
      </c>
      <c r="M55">
        <v>1.75</v>
      </c>
      <c r="N55">
        <v>6.2232762004161977</v>
      </c>
      <c r="O55">
        <v>10.18577439373168</v>
      </c>
    </row>
    <row r="57" spans="1:15" x14ac:dyDescent="0.2">
      <c r="A57" t="s">
        <v>317</v>
      </c>
      <c r="B57" t="s">
        <v>318</v>
      </c>
      <c r="C57" t="s">
        <v>319</v>
      </c>
      <c r="D57" t="s">
        <v>320</v>
      </c>
      <c r="E57" t="s">
        <v>321</v>
      </c>
      <c r="F57" t="s">
        <v>322</v>
      </c>
      <c r="G57" t="s">
        <v>323</v>
      </c>
      <c r="I57" t="s">
        <v>317</v>
      </c>
      <c r="J57" t="s">
        <v>318</v>
      </c>
      <c r="K57" t="s">
        <v>319</v>
      </c>
      <c r="L57" t="s">
        <v>320</v>
      </c>
      <c r="M57" t="s">
        <v>321</v>
      </c>
      <c r="N57" t="s">
        <v>322</v>
      </c>
      <c r="O57" t="s">
        <v>323</v>
      </c>
    </row>
    <row r="58" spans="1:15" x14ac:dyDescent="0.2">
      <c r="A58" t="s">
        <v>336</v>
      </c>
      <c r="B58">
        <v>41</v>
      </c>
      <c r="C58">
        <v>39</v>
      </c>
      <c r="D58">
        <v>17</v>
      </c>
      <c r="E58">
        <v>10</v>
      </c>
      <c r="F58">
        <v>95</v>
      </c>
      <c r="G58">
        <v>120</v>
      </c>
      <c r="I58" t="s">
        <v>337</v>
      </c>
      <c r="J58">
        <v>35</v>
      </c>
      <c r="K58">
        <v>39</v>
      </c>
      <c r="L58">
        <v>17</v>
      </c>
      <c r="M58">
        <v>12</v>
      </c>
      <c r="N58">
        <v>89</v>
      </c>
      <c r="O58">
        <v>112</v>
      </c>
    </row>
    <row r="59" spans="1:15" x14ac:dyDescent="0.2">
      <c r="B59">
        <v>45</v>
      </c>
      <c r="C59">
        <v>44</v>
      </c>
      <c r="D59">
        <v>15</v>
      </c>
      <c r="E59">
        <v>9</v>
      </c>
      <c r="F59">
        <v>102</v>
      </c>
      <c r="G59">
        <v>128</v>
      </c>
      <c r="J59">
        <v>34</v>
      </c>
      <c r="K59">
        <v>36</v>
      </c>
      <c r="L59">
        <v>20</v>
      </c>
      <c r="M59">
        <v>15</v>
      </c>
      <c r="N59">
        <v>74</v>
      </c>
      <c r="O59">
        <v>94</v>
      </c>
    </row>
    <row r="60" spans="1:15" x14ac:dyDescent="0.2">
      <c r="B60">
        <v>37</v>
      </c>
      <c r="C60">
        <v>39</v>
      </c>
      <c r="D60">
        <v>15</v>
      </c>
      <c r="E60">
        <v>9</v>
      </c>
      <c r="F60">
        <v>100</v>
      </c>
      <c r="G60">
        <v>129</v>
      </c>
      <c r="J60">
        <v>35</v>
      </c>
      <c r="K60">
        <v>42</v>
      </c>
      <c r="L60">
        <v>23</v>
      </c>
      <c r="M60">
        <v>20</v>
      </c>
      <c r="N60">
        <v>70</v>
      </c>
      <c r="O60">
        <v>85</v>
      </c>
    </row>
    <row r="61" spans="1:15" x14ac:dyDescent="0.2">
      <c r="B61">
        <v>38</v>
      </c>
      <c r="C61">
        <v>39</v>
      </c>
      <c r="D61">
        <v>16</v>
      </c>
      <c r="E61">
        <v>10</v>
      </c>
      <c r="F61">
        <v>110</v>
      </c>
      <c r="G61">
        <v>130</v>
      </c>
      <c r="J61">
        <v>39</v>
      </c>
      <c r="K61">
        <v>36</v>
      </c>
      <c r="L61">
        <v>23</v>
      </c>
      <c r="M61">
        <v>18</v>
      </c>
      <c r="N61">
        <v>78</v>
      </c>
      <c r="O61">
        <v>91</v>
      </c>
    </row>
    <row r="62" spans="1:15" x14ac:dyDescent="0.2">
      <c r="A62" t="s">
        <v>1</v>
      </c>
      <c r="B62">
        <v>40.25</v>
      </c>
      <c r="C62">
        <v>40.25</v>
      </c>
      <c r="D62">
        <v>15.75</v>
      </c>
      <c r="E62">
        <v>9.5</v>
      </c>
      <c r="F62">
        <v>101.75</v>
      </c>
      <c r="G62">
        <v>126.75</v>
      </c>
      <c r="I62" t="s">
        <v>1</v>
      </c>
      <c r="J62">
        <v>35.75</v>
      </c>
      <c r="K62">
        <v>38.25</v>
      </c>
      <c r="L62">
        <v>20.75</v>
      </c>
      <c r="M62">
        <v>16.25</v>
      </c>
      <c r="N62">
        <v>77.75</v>
      </c>
      <c r="O62">
        <v>95.5</v>
      </c>
    </row>
    <row r="63" spans="1:15" x14ac:dyDescent="0.2">
      <c r="A63" t="s">
        <v>2</v>
      </c>
      <c r="B63">
        <v>3.5939764421413041</v>
      </c>
      <c r="C63">
        <v>2.5</v>
      </c>
      <c r="D63">
        <v>0.9574271077563381</v>
      </c>
      <c r="E63">
        <v>0.57735026918962573</v>
      </c>
      <c r="F63">
        <v>6.2383224240709669</v>
      </c>
      <c r="G63">
        <v>4.5734742446707477</v>
      </c>
      <c r="I63" t="s">
        <v>2</v>
      </c>
      <c r="J63">
        <v>2.2173557826083452</v>
      </c>
      <c r="K63">
        <v>2.8722813232690143</v>
      </c>
      <c r="L63">
        <v>2.8722813232690143</v>
      </c>
      <c r="M63">
        <v>3.5</v>
      </c>
      <c r="N63">
        <v>8.1802607945386843</v>
      </c>
      <c r="O63">
        <v>11.61895003862225</v>
      </c>
    </row>
    <row r="64" spans="1:15" x14ac:dyDescent="0.2">
      <c r="A64" t="s">
        <v>3</v>
      </c>
      <c r="B64">
        <v>1.796988221070652</v>
      </c>
      <c r="C64">
        <v>1.25</v>
      </c>
      <c r="D64">
        <v>0.47871355387816905</v>
      </c>
      <c r="E64">
        <v>0.28867513459481287</v>
      </c>
      <c r="F64">
        <v>3.1191612120354835</v>
      </c>
      <c r="G64">
        <v>2.2867371223353739</v>
      </c>
      <c r="I64" t="s">
        <v>3</v>
      </c>
      <c r="J64">
        <v>1.1086778913041726</v>
      </c>
      <c r="K64">
        <v>1.4361406616345072</v>
      </c>
      <c r="L64">
        <v>1.4361406616345072</v>
      </c>
      <c r="M64">
        <v>1.75</v>
      </c>
      <c r="N64">
        <v>4.0901303972693421</v>
      </c>
      <c r="O64">
        <v>5.8094750193111251</v>
      </c>
    </row>
    <row r="66" spans="1:15" x14ac:dyDescent="0.2">
      <c r="A66" t="s">
        <v>317</v>
      </c>
      <c r="B66" t="s">
        <v>318</v>
      </c>
      <c r="C66" t="s">
        <v>319</v>
      </c>
      <c r="D66" t="s">
        <v>320</v>
      </c>
      <c r="E66" t="s">
        <v>321</v>
      </c>
      <c r="F66" t="s">
        <v>322</v>
      </c>
      <c r="G66" t="s">
        <v>323</v>
      </c>
      <c r="I66" t="s">
        <v>317</v>
      </c>
      <c r="J66" t="s">
        <v>318</v>
      </c>
      <c r="K66" t="s">
        <v>319</v>
      </c>
      <c r="L66" t="s">
        <v>320</v>
      </c>
      <c r="M66" t="s">
        <v>321</v>
      </c>
      <c r="N66" t="s">
        <v>322</v>
      </c>
      <c r="O66" t="s">
        <v>323</v>
      </c>
    </row>
    <row r="67" spans="1:15" x14ac:dyDescent="0.2">
      <c r="A67" t="s">
        <v>338</v>
      </c>
      <c r="B67">
        <v>43</v>
      </c>
      <c r="C67">
        <v>46</v>
      </c>
      <c r="D67">
        <v>21</v>
      </c>
      <c r="E67">
        <v>10</v>
      </c>
      <c r="F67">
        <v>90</v>
      </c>
      <c r="G67">
        <v>129</v>
      </c>
      <c r="I67" t="s">
        <v>339</v>
      </c>
      <c r="J67">
        <v>36</v>
      </c>
      <c r="K67">
        <v>35</v>
      </c>
      <c r="L67">
        <v>22</v>
      </c>
      <c r="M67">
        <v>20</v>
      </c>
      <c r="N67">
        <v>79</v>
      </c>
      <c r="O67">
        <v>82</v>
      </c>
    </row>
    <row r="68" spans="1:15" x14ac:dyDescent="0.2">
      <c r="B68">
        <v>45</v>
      </c>
      <c r="C68">
        <v>40</v>
      </c>
      <c r="D68">
        <v>20</v>
      </c>
      <c r="E68">
        <v>13</v>
      </c>
      <c r="F68">
        <v>93</v>
      </c>
      <c r="G68">
        <v>128</v>
      </c>
      <c r="J68">
        <v>37</v>
      </c>
      <c r="K68">
        <v>38</v>
      </c>
      <c r="L68">
        <v>22</v>
      </c>
      <c r="M68">
        <v>19</v>
      </c>
      <c r="N68">
        <v>77</v>
      </c>
      <c r="O68">
        <v>89</v>
      </c>
    </row>
    <row r="69" spans="1:15" x14ac:dyDescent="0.2">
      <c r="B69">
        <v>44</v>
      </c>
      <c r="C69">
        <v>45</v>
      </c>
      <c r="D69">
        <v>20</v>
      </c>
      <c r="E69">
        <v>11</v>
      </c>
      <c r="F69">
        <v>98</v>
      </c>
      <c r="G69">
        <v>125</v>
      </c>
      <c r="J69">
        <v>35</v>
      </c>
      <c r="K69">
        <v>39</v>
      </c>
      <c r="L69">
        <v>22</v>
      </c>
      <c r="M69">
        <v>20</v>
      </c>
      <c r="N69">
        <v>75</v>
      </c>
      <c r="O69">
        <v>90</v>
      </c>
    </row>
    <row r="70" spans="1:15" x14ac:dyDescent="0.2">
      <c r="B70">
        <v>42</v>
      </c>
      <c r="C70">
        <v>36</v>
      </c>
      <c r="D70">
        <v>19</v>
      </c>
      <c r="E70">
        <v>11</v>
      </c>
      <c r="F70">
        <v>98</v>
      </c>
      <c r="G70">
        <v>122</v>
      </c>
      <c r="J70">
        <v>35</v>
      </c>
      <c r="K70">
        <v>37</v>
      </c>
      <c r="L70">
        <v>22</v>
      </c>
      <c r="M70">
        <v>19</v>
      </c>
      <c r="N70">
        <v>79</v>
      </c>
      <c r="O70">
        <v>81</v>
      </c>
    </row>
    <row r="71" spans="1:15" x14ac:dyDescent="0.2">
      <c r="A71" t="s">
        <v>1</v>
      </c>
      <c r="B71">
        <v>43.5</v>
      </c>
      <c r="C71">
        <v>41.75</v>
      </c>
      <c r="D71">
        <v>20</v>
      </c>
      <c r="E71">
        <v>11.25</v>
      </c>
      <c r="F71">
        <v>94.75</v>
      </c>
      <c r="G71">
        <v>126</v>
      </c>
      <c r="I71" t="s">
        <v>1</v>
      </c>
      <c r="J71">
        <v>35.75</v>
      </c>
      <c r="K71">
        <v>37.25</v>
      </c>
      <c r="L71">
        <v>22</v>
      </c>
      <c r="M71">
        <v>19.5</v>
      </c>
      <c r="N71">
        <v>77.5</v>
      </c>
      <c r="O71">
        <v>85.5</v>
      </c>
    </row>
    <row r="72" spans="1:15" x14ac:dyDescent="0.2">
      <c r="A72" t="s">
        <v>2</v>
      </c>
      <c r="B72">
        <v>1.2909944487358056</v>
      </c>
      <c r="C72">
        <v>4.6457866215887842</v>
      </c>
      <c r="D72">
        <v>0.81649658092772603</v>
      </c>
      <c r="E72">
        <v>1.2583057392117916</v>
      </c>
      <c r="F72">
        <v>3.9475730941090039</v>
      </c>
      <c r="G72">
        <v>3.1622776601683795</v>
      </c>
      <c r="I72" t="s">
        <v>2</v>
      </c>
      <c r="J72">
        <v>0.9574271077563381</v>
      </c>
      <c r="K72">
        <v>1.707825127659933</v>
      </c>
      <c r="L72">
        <v>0</v>
      </c>
      <c r="M72">
        <v>0.57735026918962573</v>
      </c>
      <c r="N72">
        <v>1.9148542155126762</v>
      </c>
      <c r="O72">
        <v>4.6547466812563139</v>
      </c>
    </row>
    <row r="73" spans="1:15" x14ac:dyDescent="0.2">
      <c r="A73" t="s">
        <v>3</v>
      </c>
      <c r="B73">
        <v>0.6454972243679028</v>
      </c>
      <c r="C73">
        <v>2.3228933107943921</v>
      </c>
      <c r="D73">
        <v>0.40824829046386302</v>
      </c>
      <c r="E73">
        <v>0.62915286960589578</v>
      </c>
      <c r="F73">
        <v>1.973786547054502</v>
      </c>
      <c r="G73">
        <v>1.5811388300841898</v>
      </c>
      <c r="I73" t="s">
        <v>3</v>
      </c>
      <c r="J73">
        <v>0.47871355387816905</v>
      </c>
      <c r="K73">
        <v>0.8539125638299665</v>
      </c>
      <c r="L73">
        <v>0</v>
      </c>
      <c r="M73">
        <v>0.28867513459481287</v>
      </c>
      <c r="N73">
        <v>0.9574271077563381</v>
      </c>
      <c r="O73">
        <v>2.3273733406281569</v>
      </c>
    </row>
    <row r="75" spans="1:15" x14ac:dyDescent="0.2">
      <c r="A75" t="s">
        <v>317</v>
      </c>
      <c r="B75" t="s">
        <v>318</v>
      </c>
      <c r="C75" t="s">
        <v>319</v>
      </c>
      <c r="D75" t="s">
        <v>320</v>
      </c>
      <c r="E75" t="s">
        <v>321</v>
      </c>
      <c r="F75" t="s">
        <v>322</v>
      </c>
      <c r="G75" t="s">
        <v>323</v>
      </c>
    </row>
    <row r="76" spans="1:15" x14ac:dyDescent="0.2">
      <c r="A76" t="s">
        <v>340</v>
      </c>
      <c r="B76">
        <v>35</v>
      </c>
      <c r="C76">
        <v>43</v>
      </c>
      <c r="D76">
        <v>18</v>
      </c>
      <c r="E76">
        <v>11</v>
      </c>
      <c r="F76">
        <v>100</v>
      </c>
      <c r="G76">
        <v>112</v>
      </c>
    </row>
    <row r="77" spans="1:15" x14ac:dyDescent="0.2">
      <c r="B77">
        <v>43</v>
      </c>
      <c r="C77">
        <v>41</v>
      </c>
      <c r="D77">
        <v>18</v>
      </c>
      <c r="E77">
        <v>11</v>
      </c>
      <c r="F77">
        <v>100</v>
      </c>
      <c r="G77">
        <v>122</v>
      </c>
    </row>
    <row r="78" spans="1:15" x14ac:dyDescent="0.2">
      <c r="B78">
        <v>35</v>
      </c>
      <c r="C78">
        <v>44</v>
      </c>
      <c r="D78">
        <v>18</v>
      </c>
      <c r="E78">
        <v>12</v>
      </c>
      <c r="F78">
        <v>90</v>
      </c>
      <c r="G78">
        <v>119</v>
      </c>
    </row>
    <row r="79" spans="1:15" x14ac:dyDescent="0.2">
      <c r="B79">
        <v>44</v>
      </c>
      <c r="C79">
        <v>39</v>
      </c>
      <c r="D79">
        <v>18</v>
      </c>
      <c r="E79">
        <v>13</v>
      </c>
      <c r="F79">
        <v>90</v>
      </c>
      <c r="G79">
        <v>120</v>
      </c>
    </row>
    <row r="80" spans="1:15" x14ac:dyDescent="0.2">
      <c r="A80" t="s">
        <v>1</v>
      </c>
      <c r="B80">
        <v>39.25</v>
      </c>
      <c r="C80">
        <v>41.75</v>
      </c>
      <c r="D80">
        <v>18</v>
      </c>
      <c r="E80">
        <v>11.75</v>
      </c>
      <c r="F80">
        <v>95</v>
      </c>
      <c r="G80">
        <v>118.25</v>
      </c>
    </row>
    <row r="81" spans="1:15" x14ac:dyDescent="0.2">
      <c r="A81" t="s">
        <v>2</v>
      </c>
      <c r="B81">
        <v>4.924428900898052</v>
      </c>
      <c r="C81">
        <v>2.2173557826083452</v>
      </c>
      <c r="D81">
        <v>0</v>
      </c>
      <c r="E81">
        <v>0.9574271077563381</v>
      </c>
      <c r="F81">
        <v>5.7735026918962582</v>
      </c>
      <c r="G81">
        <v>4.349329450233296</v>
      </c>
    </row>
    <row r="82" spans="1:15" x14ac:dyDescent="0.2">
      <c r="A82" t="s">
        <v>3</v>
      </c>
      <c r="B82">
        <v>2.462214450449026</v>
      </c>
      <c r="C82">
        <v>1.1086778913041726</v>
      </c>
      <c r="D82">
        <v>0</v>
      </c>
      <c r="E82">
        <v>0.47871355387816905</v>
      </c>
      <c r="F82">
        <v>2.8867513459481291</v>
      </c>
      <c r="G82">
        <v>2.174664725116648</v>
      </c>
    </row>
    <row r="84" spans="1:15" x14ac:dyDescent="0.2">
      <c r="B84" t="s">
        <v>318</v>
      </c>
      <c r="C84" t="s">
        <v>319</v>
      </c>
      <c r="D84" t="s">
        <v>320</v>
      </c>
      <c r="E84" t="s">
        <v>321</v>
      </c>
      <c r="F84" t="s">
        <v>322</v>
      </c>
      <c r="G84" t="s">
        <v>323</v>
      </c>
      <c r="J84" t="s">
        <v>318</v>
      </c>
      <c r="K84" t="s">
        <v>319</v>
      </c>
      <c r="L84" t="s">
        <v>320</v>
      </c>
      <c r="M84" t="s">
        <v>321</v>
      </c>
      <c r="N84" t="s">
        <v>322</v>
      </c>
      <c r="O84" t="s">
        <v>323</v>
      </c>
    </row>
    <row r="85" spans="1:15" x14ac:dyDescent="0.2">
      <c r="A85" t="s">
        <v>341</v>
      </c>
      <c r="B85">
        <v>38.361111111111114</v>
      </c>
      <c r="C85">
        <v>38.25</v>
      </c>
      <c r="D85">
        <v>18.944444444444443</v>
      </c>
      <c r="E85">
        <v>11.25</v>
      </c>
      <c r="F85">
        <v>89.611111111111114</v>
      </c>
      <c r="G85">
        <v>116.75</v>
      </c>
      <c r="I85" t="s">
        <v>342</v>
      </c>
      <c r="J85">
        <v>34.3125</v>
      </c>
      <c r="K85">
        <v>35.03125</v>
      </c>
      <c r="L85">
        <v>20.59375</v>
      </c>
      <c r="M85">
        <v>17.5</v>
      </c>
      <c r="N85">
        <v>79.25</v>
      </c>
      <c r="O85">
        <v>87.75</v>
      </c>
    </row>
    <row r="86" spans="1:15" x14ac:dyDescent="0.2">
      <c r="A86" t="s">
        <v>343</v>
      </c>
      <c r="B86">
        <v>4.0737557746029784</v>
      </c>
      <c r="C86">
        <v>4.5155979670471105</v>
      </c>
      <c r="D86">
        <v>2.5792979234236921</v>
      </c>
      <c r="E86">
        <v>1.1524430571616109</v>
      </c>
      <c r="F86">
        <v>11.148928697911352</v>
      </c>
      <c r="G86">
        <v>9.2533777616608734</v>
      </c>
      <c r="I86" t="s">
        <v>344</v>
      </c>
      <c r="J86">
        <v>3.73867337051909</v>
      </c>
      <c r="K86">
        <v>2.8298078556679429</v>
      </c>
      <c r="L86">
        <v>2.3976830333827341</v>
      </c>
      <c r="M86">
        <v>2.8315820918449712</v>
      </c>
      <c r="N86">
        <v>8.3001721152550285</v>
      </c>
      <c r="O86">
        <v>9.587007577222117</v>
      </c>
    </row>
    <row r="87" spans="1:15" x14ac:dyDescent="0.2">
      <c r="A87" t="s">
        <v>345</v>
      </c>
      <c r="B87">
        <v>1.3579185915343261</v>
      </c>
      <c r="C87">
        <v>1.5051993223490368</v>
      </c>
      <c r="D87">
        <v>0.85976597447456404</v>
      </c>
      <c r="E87">
        <v>0.38414768572053698</v>
      </c>
      <c r="F87">
        <v>3.7163095659704504</v>
      </c>
      <c r="G87">
        <v>3.084459253886958</v>
      </c>
      <c r="I87" t="s">
        <v>346</v>
      </c>
      <c r="J87">
        <v>1.3218206464678071</v>
      </c>
      <c r="K87">
        <v>1.0004881620988826</v>
      </c>
      <c r="L87">
        <v>0.84770896602043122</v>
      </c>
      <c r="M87">
        <v>1.0011154493149843</v>
      </c>
      <c r="N87">
        <v>2.9345539938561602</v>
      </c>
      <c r="O87">
        <v>3.3895190345702861</v>
      </c>
    </row>
    <row r="89" spans="1:15" x14ac:dyDescent="0.2">
      <c r="A89" t="s">
        <v>317</v>
      </c>
      <c r="B89" t="s">
        <v>318</v>
      </c>
      <c r="C89" t="s">
        <v>319</v>
      </c>
      <c r="D89" t="s">
        <v>320</v>
      </c>
      <c r="E89" t="s">
        <v>321</v>
      </c>
      <c r="F89" t="s">
        <v>322</v>
      </c>
      <c r="G89" t="s">
        <v>323</v>
      </c>
      <c r="I89" t="s">
        <v>317</v>
      </c>
      <c r="J89" t="s">
        <v>318</v>
      </c>
      <c r="K89" t="s">
        <v>319</v>
      </c>
      <c r="L89" t="s">
        <v>320</v>
      </c>
      <c r="M89" t="s">
        <v>321</v>
      </c>
      <c r="N89" t="s">
        <v>322</v>
      </c>
      <c r="O89" t="s">
        <v>323</v>
      </c>
    </row>
    <row r="90" spans="1:15" x14ac:dyDescent="0.2">
      <c r="A90" t="s">
        <v>324</v>
      </c>
      <c r="B90">
        <v>32.25</v>
      </c>
      <c r="C90">
        <v>30.75</v>
      </c>
      <c r="D90">
        <v>22.5</v>
      </c>
      <c r="E90">
        <v>11</v>
      </c>
      <c r="F90">
        <v>70.25</v>
      </c>
      <c r="G90">
        <v>104.75</v>
      </c>
      <c r="I90" t="s">
        <v>325</v>
      </c>
      <c r="J90">
        <v>32.25</v>
      </c>
      <c r="K90">
        <v>34.75</v>
      </c>
      <c r="L90">
        <v>18.5</v>
      </c>
      <c r="M90">
        <v>17.25</v>
      </c>
      <c r="N90">
        <v>82.25</v>
      </c>
      <c r="O90">
        <v>90</v>
      </c>
    </row>
    <row r="91" spans="1:15" x14ac:dyDescent="0.2">
      <c r="A91" t="s">
        <v>326</v>
      </c>
      <c r="B91">
        <v>41.5</v>
      </c>
      <c r="C91">
        <v>41.5</v>
      </c>
      <c r="D91">
        <v>19.75</v>
      </c>
      <c r="E91">
        <v>12.5</v>
      </c>
      <c r="F91">
        <v>90.5</v>
      </c>
      <c r="G91">
        <v>115.5</v>
      </c>
      <c r="I91" t="s">
        <v>327</v>
      </c>
      <c r="J91">
        <v>34</v>
      </c>
      <c r="K91">
        <v>35</v>
      </c>
      <c r="L91">
        <v>23.75</v>
      </c>
      <c r="M91">
        <v>22.75</v>
      </c>
      <c r="N91">
        <v>69.75</v>
      </c>
      <c r="O91">
        <v>70.75</v>
      </c>
    </row>
    <row r="92" spans="1:15" x14ac:dyDescent="0.2">
      <c r="A92" t="s">
        <v>328</v>
      </c>
      <c r="B92">
        <v>42.75</v>
      </c>
      <c r="C92">
        <v>43</v>
      </c>
      <c r="D92">
        <v>17</v>
      </c>
      <c r="E92">
        <v>10.25</v>
      </c>
      <c r="F92">
        <v>102.5</v>
      </c>
      <c r="G92">
        <v>124</v>
      </c>
      <c r="I92" t="s">
        <v>329</v>
      </c>
      <c r="J92">
        <v>42.25</v>
      </c>
      <c r="K92">
        <v>38.25</v>
      </c>
      <c r="L92">
        <v>18.25</v>
      </c>
      <c r="M92">
        <v>16.25</v>
      </c>
      <c r="N92">
        <v>94.5</v>
      </c>
      <c r="O92">
        <v>101</v>
      </c>
    </row>
    <row r="93" spans="1:15" x14ac:dyDescent="0.2">
      <c r="A93" t="s">
        <v>330</v>
      </c>
      <c r="B93">
        <v>33.75</v>
      </c>
      <c r="C93">
        <v>33.25</v>
      </c>
      <c r="D93">
        <v>15.25</v>
      </c>
      <c r="E93">
        <v>10</v>
      </c>
      <c r="F93">
        <v>94</v>
      </c>
      <c r="G93">
        <v>124</v>
      </c>
      <c r="I93" t="s">
        <v>331</v>
      </c>
      <c r="J93">
        <v>31.75</v>
      </c>
      <c r="K93">
        <v>32</v>
      </c>
      <c r="L93">
        <v>23.25</v>
      </c>
      <c r="M93">
        <v>18.25</v>
      </c>
      <c r="N93">
        <v>70.5</v>
      </c>
      <c r="O93">
        <v>78.75</v>
      </c>
    </row>
    <row r="94" spans="1:15" x14ac:dyDescent="0.2">
      <c r="A94" t="s">
        <v>332</v>
      </c>
      <c r="B94">
        <v>37.25</v>
      </c>
      <c r="C94">
        <v>38.25</v>
      </c>
      <c r="D94">
        <v>21.75</v>
      </c>
      <c r="E94">
        <v>12.5</v>
      </c>
      <c r="F94">
        <v>79</v>
      </c>
      <c r="G94">
        <v>107.25</v>
      </c>
      <c r="I94" t="s">
        <v>333</v>
      </c>
      <c r="J94">
        <v>30.25</v>
      </c>
      <c r="K94">
        <v>30.5</v>
      </c>
      <c r="L94">
        <v>17.25</v>
      </c>
      <c r="M94">
        <v>13</v>
      </c>
      <c r="N94">
        <v>86.5</v>
      </c>
      <c r="O94">
        <v>93</v>
      </c>
    </row>
    <row r="95" spans="1:15" x14ac:dyDescent="0.2">
      <c r="A95" t="s">
        <v>334</v>
      </c>
      <c r="B95">
        <v>34.75</v>
      </c>
      <c r="C95">
        <v>33.75</v>
      </c>
      <c r="D95">
        <v>20.5</v>
      </c>
      <c r="E95">
        <v>12.5</v>
      </c>
      <c r="F95">
        <v>78.75</v>
      </c>
      <c r="G95">
        <v>104.25</v>
      </c>
      <c r="I95" t="s">
        <v>335</v>
      </c>
      <c r="J95">
        <v>32.5</v>
      </c>
      <c r="K95">
        <v>34.25</v>
      </c>
      <c r="L95">
        <v>21</v>
      </c>
      <c r="M95">
        <v>16.75</v>
      </c>
      <c r="N95">
        <v>75.25</v>
      </c>
      <c r="O95">
        <v>87.5</v>
      </c>
    </row>
    <row r="96" spans="1:15" x14ac:dyDescent="0.2">
      <c r="A96" t="s">
        <v>336</v>
      </c>
      <c r="B96">
        <v>40.25</v>
      </c>
      <c r="C96">
        <v>40.25</v>
      </c>
      <c r="D96">
        <v>15.75</v>
      </c>
      <c r="E96">
        <v>9.5</v>
      </c>
      <c r="F96">
        <v>101.75</v>
      </c>
      <c r="G96">
        <v>126.75</v>
      </c>
      <c r="I96" t="s">
        <v>337</v>
      </c>
      <c r="J96">
        <v>35.75</v>
      </c>
      <c r="K96">
        <v>38.25</v>
      </c>
      <c r="L96">
        <v>20.75</v>
      </c>
      <c r="M96">
        <v>16.25</v>
      </c>
      <c r="N96">
        <v>77.75</v>
      </c>
      <c r="O96">
        <v>95.5</v>
      </c>
    </row>
    <row r="97" spans="1:15" x14ac:dyDescent="0.2">
      <c r="A97" t="s">
        <v>338</v>
      </c>
      <c r="B97">
        <v>43.5</v>
      </c>
      <c r="C97">
        <v>41.75</v>
      </c>
      <c r="D97">
        <v>20</v>
      </c>
      <c r="E97">
        <v>11.25</v>
      </c>
      <c r="F97">
        <v>94.75</v>
      </c>
      <c r="G97">
        <v>126</v>
      </c>
      <c r="I97" t="s">
        <v>339</v>
      </c>
      <c r="J97">
        <v>35.75</v>
      </c>
      <c r="K97">
        <v>37.25</v>
      </c>
      <c r="L97">
        <v>22</v>
      </c>
      <c r="M97">
        <v>19.5</v>
      </c>
      <c r="N97">
        <v>77.5</v>
      </c>
      <c r="O97">
        <v>85.5</v>
      </c>
    </row>
    <row r="98" spans="1:15" x14ac:dyDescent="0.2">
      <c r="A98" t="s">
        <v>340</v>
      </c>
      <c r="B98">
        <v>39.25</v>
      </c>
      <c r="C98">
        <v>41.75</v>
      </c>
      <c r="D98">
        <v>18</v>
      </c>
      <c r="E98">
        <v>11.75</v>
      </c>
      <c r="F98">
        <v>95</v>
      </c>
      <c r="G98">
        <v>118.25</v>
      </c>
    </row>
    <row r="100" spans="1:15" x14ac:dyDescent="0.2">
      <c r="A100" t="s">
        <v>347</v>
      </c>
      <c r="B100">
        <v>5.061408546507698E-2</v>
      </c>
      <c r="C100">
        <v>0.10361530651011006</v>
      </c>
      <c r="D100">
        <v>0.1939923345154797</v>
      </c>
      <c r="E100" t="s">
        <v>348</v>
      </c>
      <c r="F100">
        <v>4.8357272754057816E-2</v>
      </c>
      <c r="G100" t="s">
        <v>348</v>
      </c>
    </row>
    <row r="103" spans="1:15" x14ac:dyDescent="0.2">
      <c r="A103" t="s">
        <v>349</v>
      </c>
      <c r="B103" t="s">
        <v>350</v>
      </c>
      <c r="C103" t="s">
        <v>351</v>
      </c>
      <c r="D103" t="s">
        <v>352</v>
      </c>
      <c r="E103" t="s">
        <v>353</v>
      </c>
    </row>
    <row r="104" spans="1:15" x14ac:dyDescent="0.2">
      <c r="B104">
        <v>0.48888888888888887</v>
      </c>
      <c r="C104">
        <v>1.4911032028469751</v>
      </c>
      <c r="D104">
        <v>0.93243243243243246</v>
      </c>
      <c r="E104">
        <v>1.094224924012158</v>
      </c>
    </row>
    <row r="105" spans="1:15" x14ac:dyDescent="0.2">
      <c r="B105">
        <v>0.63291139240506333</v>
      </c>
      <c r="C105">
        <v>1.2762430939226519</v>
      </c>
      <c r="D105">
        <v>0.95789473684210524</v>
      </c>
      <c r="E105">
        <v>1.0143369175627239</v>
      </c>
    </row>
    <row r="106" spans="1:15" x14ac:dyDescent="0.2">
      <c r="B106">
        <v>0.6029411764705882</v>
      </c>
      <c r="C106">
        <v>1.2097560975609756</v>
      </c>
      <c r="D106">
        <v>0.8904109589041096</v>
      </c>
      <c r="E106">
        <v>1.0687830687830688</v>
      </c>
    </row>
    <row r="107" spans="1:15" x14ac:dyDescent="0.2">
      <c r="B107">
        <v>0.65573770491803274</v>
      </c>
      <c r="C107">
        <v>1.3191489361702127</v>
      </c>
      <c r="D107">
        <v>0.78494623655913975</v>
      </c>
      <c r="E107">
        <v>1.1170212765957446</v>
      </c>
    </row>
    <row r="108" spans="1:15" x14ac:dyDescent="0.2">
      <c r="B108">
        <v>0.57471264367816088</v>
      </c>
      <c r="C108">
        <v>1.3575949367088607</v>
      </c>
      <c r="D108">
        <v>0.75362318840579712</v>
      </c>
      <c r="E108">
        <v>1.0751445086705202</v>
      </c>
    </row>
    <row r="109" spans="1:15" x14ac:dyDescent="0.2">
      <c r="B109">
        <v>0.6097560975609756</v>
      </c>
      <c r="C109">
        <v>1.3238095238095238</v>
      </c>
      <c r="D109">
        <v>0.79761904761904767</v>
      </c>
      <c r="E109">
        <v>1.1627906976744187</v>
      </c>
    </row>
    <row r="110" spans="1:15" x14ac:dyDescent="0.2">
      <c r="B110">
        <v>0.60317460317460314</v>
      </c>
      <c r="C110">
        <v>1.2457002457002457</v>
      </c>
      <c r="D110">
        <v>0.7831325301204819</v>
      </c>
      <c r="E110">
        <v>1.2282958199356913</v>
      </c>
    </row>
    <row r="111" spans="1:15" x14ac:dyDescent="0.2">
      <c r="B111">
        <v>0.5625</v>
      </c>
      <c r="C111">
        <v>1.3298153034300793</v>
      </c>
      <c r="D111">
        <v>0.88636363636363635</v>
      </c>
      <c r="E111">
        <v>1.1032258064516129</v>
      </c>
    </row>
    <row r="112" spans="1:15" x14ac:dyDescent="0.2">
      <c r="B112">
        <v>0.65277777777777779</v>
      </c>
      <c r="C112">
        <v>1.2447368421052631</v>
      </c>
    </row>
    <row r="113" spans="1:5" x14ac:dyDescent="0.2">
      <c r="A113" t="s">
        <v>1</v>
      </c>
      <c r="B113">
        <v>0.59815558720823225</v>
      </c>
      <c r="C113">
        <v>1.3108786869171984</v>
      </c>
      <c r="D113">
        <v>0.84830284590584371</v>
      </c>
      <c r="E113">
        <v>1.1079778774607423</v>
      </c>
    </row>
    <row r="114" spans="1:5" x14ac:dyDescent="0.2">
      <c r="A114" t="s">
        <v>2</v>
      </c>
      <c r="B114">
        <v>4.8819415611542037E-2</v>
      </c>
      <c r="C114">
        <v>7.8390658713556161E-2</v>
      </c>
      <c r="D114">
        <v>7.2546710641527665E-2</v>
      </c>
      <c r="E114">
        <v>6.0370992641901364E-2</v>
      </c>
    </row>
    <row r="115" spans="1:5" x14ac:dyDescent="0.2">
      <c r="A115" t="s">
        <v>3</v>
      </c>
      <c r="B115">
        <v>1.7260269916242889E-2</v>
      </c>
      <c r="C115">
        <v>2.7715283179017943E-2</v>
      </c>
      <c r="D115">
        <v>2.7420079256177898E-2</v>
      </c>
      <c r="E115">
        <v>2.281809041894018E-2</v>
      </c>
    </row>
    <row r="117" spans="1:5" x14ac:dyDescent="0.2">
      <c r="A117" t="s">
        <v>347</v>
      </c>
      <c r="B117" t="s">
        <v>348</v>
      </c>
      <c r="C117" t="s">
        <v>348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F1C2-8AAB-4051-A4AE-FF5A83AFC3E4}">
  <dimension ref="A1:E38"/>
  <sheetViews>
    <sheetView workbookViewId="0">
      <selection activeCell="K22" sqref="K22"/>
    </sheetView>
  </sheetViews>
  <sheetFormatPr baseColWidth="10" defaultColWidth="8.83203125" defaultRowHeight="16" x14ac:dyDescent="0.2"/>
  <cols>
    <col min="1" max="1" width="13.5" style="10" customWidth="1"/>
    <col min="2" max="4" width="13" style="10" customWidth="1"/>
    <col min="5" max="5" width="17.83203125" style="10" customWidth="1"/>
  </cols>
  <sheetData>
    <row r="1" spans="1:5" x14ac:dyDescent="0.2">
      <c r="A1" s="19" t="s">
        <v>35</v>
      </c>
    </row>
    <row r="2" spans="1:5" x14ac:dyDescent="0.2">
      <c r="A2" s="18"/>
    </row>
    <row r="3" spans="1:5" x14ac:dyDescent="0.2">
      <c r="C3" s="10" t="s">
        <v>45</v>
      </c>
    </row>
    <row r="4" spans="1:5" x14ac:dyDescent="0.2">
      <c r="A4" s="10" t="s">
        <v>12</v>
      </c>
      <c r="B4" s="17" t="s">
        <v>10</v>
      </c>
      <c r="C4" s="17"/>
      <c r="D4" s="10" t="s">
        <v>12</v>
      </c>
      <c r="E4" s="22" t="s">
        <v>13</v>
      </c>
    </row>
    <row r="5" spans="1:5" x14ac:dyDescent="0.2">
      <c r="A5" s="7">
        <v>133130027</v>
      </c>
      <c r="B5" s="1">
        <v>25.622</v>
      </c>
      <c r="D5" s="7">
        <v>132120047</v>
      </c>
      <c r="E5" s="1">
        <v>18.808</v>
      </c>
    </row>
    <row r="6" spans="1:5" x14ac:dyDescent="0.2">
      <c r="A6" s="7">
        <v>134010035</v>
      </c>
      <c r="B6" s="1">
        <v>43.725000000000001</v>
      </c>
      <c r="D6" s="7">
        <v>133150019</v>
      </c>
      <c r="E6" s="1">
        <v>14.427</v>
      </c>
    </row>
    <row r="7" spans="1:5" x14ac:dyDescent="0.2">
      <c r="A7" s="7">
        <v>162030017</v>
      </c>
      <c r="B7" s="1">
        <v>24.21</v>
      </c>
      <c r="D7" s="7">
        <v>133150065</v>
      </c>
      <c r="E7" s="1">
        <v>5.4130000000000003</v>
      </c>
    </row>
    <row r="8" spans="1:5" x14ac:dyDescent="0.2">
      <c r="A8" s="7">
        <v>162030032</v>
      </c>
      <c r="B8" s="1">
        <v>24.762</v>
      </c>
      <c r="D8" s="7">
        <v>133270055</v>
      </c>
      <c r="E8" s="1">
        <v>20.193000000000001</v>
      </c>
    </row>
    <row r="9" spans="1:5" x14ac:dyDescent="0.2">
      <c r="A9" s="7" t="s">
        <v>46</v>
      </c>
      <c r="B9" s="1">
        <v>16.890999999999998</v>
      </c>
      <c r="D9" s="7">
        <v>133270064</v>
      </c>
      <c r="E9" s="1">
        <v>15.099</v>
      </c>
    </row>
    <row r="10" spans="1:5" x14ac:dyDescent="0.2">
      <c r="A10" s="7" t="s">
        <v>47</v>
      </c>
      <c r="B10" s="39">
        <v>21.713000000000001</v>
      </c>
      <c r="D10" s="7">
        <v>134130014</v>
      </c>
      <c r="E10" s="1">
        <v>13.144</v>
      </c>
    </row>
    <row r="11" spans="1:5" x14ac:dyDescent="0.2">
      <c r="A11" s="7" t="s">
        <v>48</v>
      </c>
      <c r="B11" s="1">
        <v>40.270000000000003</v>
      </c>
      <c r="D11" s="7">
        <v>134130025</v>
      </c>
      <c r="E11" s="1">
        <v>0.505</v>
      </c>
    </row>
    <row r="12" spans="1:5" x14ac:dyDescent="0.2">
      <c r="A12" s="7" t="s">
        <v>49</v>
      </c>
      <c r="B12" s="39">
        <v>8.7949999999999999</v>
      </c>
      <c r="D12" s="7">
        <v>135030011</v>
      </c>
      <c r="E12" s="1">
        <v>20.861000000000001</v>
      </c>
    </row>
    <row r="13" spans="1:5" x14ac:dyDescent="0.2">
      <c r="A13" s="7" t="s">
        <v>50</v>
      </c>
      <c r="B13" s="1">
        <v>11.226000000000001</v>
      </c>
      <c r="D13" s="7">
        <v>158270010</v>
      </c>
      <c r="E13" s="1">
        <v>10.591699999999999</v>
      </c>
    </row>
    <row r="14" spans="1:5" x14ac:dyDescent="0.2">
      <c r="A14" s="7">
        <v>183080006</v>
      </c>
      <c r="B14" s="1">
        <v>25.295000000000002</v>
      </c>
      <c r="D14" s="7" t="s">
        <v>46</v>
      </c>
      <c r="E14" s="1">
        <v>16.619</v>
      </c>
    </row>
    <row r="15" spans="1:5" x14ac:dyDescent="0.2">
      <c r="A15" s="7">
        <v>183080018</v>
      </c>
      <c r="B15" s="1">
        <v>24.35</v>
      </c>
      <c r="D15" s="7">
        <v>174220015</v>
      </c>
      <c r="E15" s="44">
        <v>2.85</v>
      </c>
    </row>
    <row r="16" spans="1:5" x14ac:dyDescent="0.2">
      <c r="A16" s="7">
        <v>183080037</v>
      </c>
      <c r="B16" s="1">
        <f>(11.267+11.652)/2</f>
        <v>11.459499999999998</v>
      </c>
      <c r="D16" s="7">
        <v>175230022</v>
      </c>
      <c r="E16" s="1">
        <v>19.91</v>
      </c>
    </row>
    <row r="17" spans="1:5" x14ac:dyDescent="0.2">
      <c r="A17" s="7"/>
      <c r="B17" s="1"/>
      <c r="D17" s="7">
        <v>175230035</v>
      </c>
      <c r="E17" s="1">
        <v>3.524</v>
      </c>
    </row>
    <row r="18" spans="1:5" x14ac:dyDescent="0.2">
      <c r="A18" s="7"/>
      <c r="B18" s="1"/>
      <c r="D18" s="7">
        <v>175230045</v>
      </c>
      <c r="E18" s="1">
        <v>14.058999999999999</v>
      </c>
    </row>
    <row r="19" spans="1:5" x14ac:dyDescent="0.2">
      <c r="A19" s="7"/>
      <c r="B19" s="1"/>
      <c r="D19" s="7" t="s">
        <v>51</v>
      </c>
      <c r="E19" s="1">
        <v>12.584</v>
      </c>
    </row>
    <row r="20" spans="1:5" x14ac:dyDescent="0.2">
      <c r="A20" s="7"/>
      <c r="B20" s="1"/>
      <c r="D20" s="7" t="s">
        <v>52</v>
      </c>
      <c r="E20" s="1">
        <v>8.0350000000000001</v>
      </c>
    </row>
    <row r="21" spans="1:5" x14ac:dyDescent="0.2">
      <c r="A21" s="7"/>
      <c r="B21" s="1"/>
      <c r="D21" s="7" t="s">
        <v>53</v>
      </c>
      <c r="E21" s="1">
        <v>9.41</v>
      </c>
    </row>
    <row r="22" spans="1:5" x14ac:dyDescent="0.2">
      <c r="A22" s="7"/>
      <c r="B22" s="1"/>
      <c r="D22" s="7">
        <v>214090037</v>
      </c>
      <c r="E22" s="1">
        <v>11.493</v>
      </c>
    </row>
    <row r="23" spans="1:5" x14ac:dyDescent="0.2">
      <c r="A23" s="7"/>
      <c r="B23" s="1"/>
    </row>
    <row r="24" spans="1:5" x14ac:dyDescent="0.2">
      <c r="A24" s="7"/>
      <c r="B24" s="1"/>
    </row>
    <row r="25" spans="1:5" x14ac:dyDescent="0.2">
      <c r="A25" s="7"/>
      <c r="B25" s="1"/>
    </row>
    <row r="26" spans="1:5" x14ac:dyDescent="0.2">
      <c r="A26" s="7"/>
      <c r="B26" s="1"/>
    </row>
    <row r="28" spans="1:5" x14ac:dyDescent="0.2">
      <c r="A28" s="7" t="s">
        <v>0</v>
      </c>
      <c r="B28" s="1">
        <f>COUNT(B4:B27)</f>
        <v>12</v>
      </c>
      <c r="D28" s="7" t="s">
        <v>0</v>
      </c>
      <c r="E28" s="1">
        <f>COUNT(E5:E25)</f>
        <v>18</v>
      </c>
    </row>
    <row r="29" spans="1:5" x14ac:dyDescent="0.2">
      <c r="A29" s="7" t="s">
        <v>1</v>
      </c>
      <c r="B29" s="35">
        <f>AVERAGE(B5:B27)</f>
        <v>23.193208333333335</v>
      </c>
      <c r="D29" s="7" t="s">
        <v>1</v>
      </c>
      <c r="E29" s="35">
        <f>AVERAGE(E5:E25)</f>
        <v>12.084761111111112</v>
      </c>
    </row>
    <row r="30" spans="1:5" x14ac:dyDescent="0.2">
      <c r="A30" s="7" t="s">
        <v>2</v>
      </c>
      <c r="B30" s="35">
        <f>STDEV(B5:B27)</f>
        <v>10.695930473906952</v>
      </c>
      <c r="D30" s="7" t="s">
        <v>2</v>
      </c>
      <c r="E30" s="35">
        <f>STDEV(E5:E25)</f>
        <v>6.1972818086204118</v>
      </c>
    </row>
    <row r="31" spans="1:5" x14ac:dyDescent="0.2">
      <c r="A31" s="7" t="s">
        <v>3</v>
      </c>
      <c r="B31" s="35">
        <f t="shared" ref="B31:E31" si="0">B30/SQRT(B28)</f>
        <v>3.0876491691718502</v>
      </c>
      <c r="D31" s="7" t="s">
        <v>3</v>
      </c>
      <c r="E31" s="35">
        <f t="shared" si="0"/>
        <v>1.4607133305998419</v>
      </c>
    </row>
    <row r="32" spans="1:5" x14ac:dyDescent="0.2">
      <c r="A32" s="10" t="s">
        <v>78</v>
      </c>
      <c r="B32" s="17">
        <v>7</v>
      </c>
      <c r="D32" s="10" t="s">
        <v>78</v>
      </c>
      <c r="E32" s="17">
        <v>11</v>
      </c>
    </row>
    <row r="34" spans="3:4" x14ac:dyDescent="0.2">
      <c r="D34" s="14" t="s">
        <v>79</v>
      </c>
    </row>
    <row r="35" spans="3:4" x14ac:dyDescent="0.2">
      <c r="C35" s="20"/>
    </row>
    <row r="36" spans="3:4" x14ac:dyDescent="0.2">
      <c r="C36" s="25"/>
    </row>
    <row r="37" spans="3:4" x14ac:dyDescent="0.2">
      <c r="C37" s="24"/>
    </row>
    <row r="38" spans="3:4" x14ac:dyDescent="0.2">
      <c r="C38" s="2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BABC0-2B56-4486-89F6-FAF239BDBEDF}">
  <dimension ref="A1:E31"/>
  <sheetViews>
    <sheetView tabSelected="1" workbookViewId="0">
      <selection activeCell="A26" sqref="A26:E30"/>
    </sheetView>
  </sheetViews>
  <sheetFormatPr baseColWidth="10" defaultColWidth="8.83203125" defaultRowHeight="16" x14ac:dyDescent="0.2"/>
  <cols>
    <col min="1" max="1" width="14.5" style="13" customWidth="1"/>
    <col min="2" max="2" width="10.83203125" style="17" customWidth="1"/>
    <col min="3" max="3" width="13.6640625" style="10" customWidth="1"/>
    <col min="4" max="4" width="17.5" style="10" customWidth="1"/>
    <col min="5" max="5" width="19.1640625" style="17" customWidth="1"/>
  </cols>
  <sheetData>
    <row r="1" spans="1:5" x14ac:dyDescent="0.2">
      <c r="A1" s="19" t="s">
        <v>35</v>
      </c>
    </row>
    <row r="2" spans="1:5" x14ac:dyDescent="0.2">
      <c r="A2" s="19"/>
    </row>
    <row r="3" spans="1:5" x14ac:dyDescent="0.2">
      <c r="C3" s="10" t="s">
        <v>54</v>
      </c>
    </row>
    <row r="4" spans="1:5" x14ac:dyDescent="0.2">
      <c r="A4" s="13" t="s">
        <v>12</v>
      </c>
      <c r="B4" s="17" t="s">
        <v>10</v>
      </c>
      <c r="C4" s="17"/>
      <c r="D4" s="17" t="s">
        <v>12</v>
      </c>
      <c r="E4" s="22" t="s">
        <v>13</v>
      </c>
    </row>
    <row r="5" spans="1:5" x14ac:dyDescent="0.2">
      <c r="A5" s="7">
        <v>133130027</v>
      </c>
      <c r="B5" s="1">
        <v>52.91</v>
      </c>
      <c r="D5" s="7">
        <v>132120047</v>
      </c>
      <c r="E5" s="1">
        <v>60.65</v>
      </c>
    </row>
    <row r="6" spans="1:5" x14ac:dyDescent="0.2">
      <c r="A6" s="7">
        <v>134010035</v>
      </c>
      <c r="B6" s="1">
        <v>159.5</v>
      </c>
      <c r="D6" s="7">
        <v>133150019</v>
      </c>
      <c r="E6" s="1">
        <v>114.79900000000001</v>
      </c>
    </row>
    <row r="7" spans="1:5" x14ac:dyDescent="0.2">
      <c r="A7" s="7">
        <v>162030017</v>
      </c>
      <c r="B7" s="1">
        <v>144.24</v>
      </c>
      <c r="D7" s="7">
        <v>133150065</v>
      </c>
      <c r="E7" s="1">
        <v>29.673999999999999</v>
      </c>
    </row>
    <row r="8" spans="1:5" x14ac:dyDescent="0.2">
      <c r="A8" s="7">
        <v>162030032</v>
      </c>
      <c r="B8" s="1">
        <v>95.72</v>
      </c>
      <c r="D8" s="7">
        <v>133270055</v>
      </c>
      <c r="E8" s="1">
        <v>85.572999999999993</v>
      </c>
    </row>
    <row r="9" spans="1:5" x14ac:dyDescent="0.2">
      <c r="A9" s="7" t="s">
        <v>46</v>
      </c>
      <c r="B9" s="1">
        <v>78.653999999999996</v>
      </c>
      <c r="D9" s="7">
        <v>133270064</v>
      </c>
      <c r="E9" s="1">
        <v>205.28899999999999</v>
      </c>
    </row>
    <row r="10" spans="1:5" x14ac:dyDescent="0.2">
      <c r="A10" s="7" t="s">
        <v>47</v>
      </c>
      <c r="B10" s="1">
        <v>99.718000000000004</v>
      </c>
      <c r="D10" s="7">
        <v>134130014</v>
      </c>
      <c r="E10" s="1">
        <v>52.813000000000002</v>
      </c>
    </row>
    <row r="11" spans="1:5" x14ac:dyDescent="0.2">
      <c r="A11" s="7" t="s">
        <v>48</v>
      </c>
      <c r="B11" s="1">
        <v>160.78800000000001</v>
      </c>
      <c r="D11" s="7">
        <v>134130025</v>
      </c>
      <c r="E11" s="1">
        <v>39.466000000000001</v>
      </c>
    </row>
    <row r="12" spans="1:5" x14ac:dyDescent="0.2">
      <c r="A12" s="7" t="s">
        <v>49</v>
      </c>
      <c r="B12" s="1">
        <v>29.588000000000001</v>
      </c>
      <c r="D12" s="7">
        <v>135030011</v>
      </c>
      <c r="E12" s="1">
        <v>62.765999999999998</v>
      </c>
    </row>
    <row r="13" spans="1:5" x14ac:dyDescent="0.2">
      <c r="A13" s="7" t="s">
        <v>50</v>
      </c>
      <c r="B13" s="1">
        <v>17.079999999999998</v>
      </c>
      <c r="D13" s="7">
        <v>158270010</v>
      </c>
      <c r="E13" s="39">
        <v>82.466999999999999</v>
      </c>
    </row>
    <row r="14" spans="1:5" x14ac:dyDescent="0.2">
      <c r="A14" s="7">
        <v>183080006</v>
      </c>
      <c r="B14" s="1">
        <v>65.912999999999997</v>
      </c>
      <c r="D14" s="7" t="s">
        <v>55</v>
      </c>
      <c r="E14" s="1">
        <v>82.441999999999993</v>
      </c>
    </row>
    <row r="15" spans="1:5" x14ac:dyDescent="0.2">
      <c r="A15" s="7">
        <v>183080018</v>
      </c>
      <c r="B15" s="1">
        <v>115.77200000000001</v>
      </c>
      <c r="D15" s="7">
        <v>174220015</v>
      </c>
      <c r="E15" s="1">
        <v>123.661</v>
      </c>
    </row>
    <row r="16" spans="1:5" x14ac:dyDescent="0.2">
      <c r="A16" s="7">
        <v>183080037</v>
      </c>
      <c r="B16" s="1">
        <f>(50.986+59.015)/2</f>
        <v>55.000500000000002</v>
      </c>
      <c r="D16" s="7">
        <v>175230022</v>
      </c>
      <c r="E16" s="1">
        <v>82.855000000000004</v>
      </c>
    </row>
    <row r="17" spans="1:5" x14ac:dyDescent="0.2">
      <c r="A17" s="7"/>
      <c r="B17" s="1"/>
      <c r="D17" s="7">
        <v>175230035</v>
      </c>
      <c r="E17" s="1">
        <v>10.116</v>
      </c>
    </row>
    <row r="18" spans="1:5" x14ac:dyDescent="0.2">
      <c r="A18" s="7"/>
      <c r="B18" s="1"/>
      <c r="D18" s="7">
        <v>175230045</v>
      </c>
      <c r="E18" s="1">
        <v>197.095</v>
      </c>
    </row>
    <row r="19" spans="1:5" x14ac:dyDescent="0.2">
      <c r="A19" s="7"/>
      <c r="B19" s="1"/>
      <c r="D19" s="7" t="s">
        <v>51</v>
      </c>
      <c r="E19" s="1">
        <v>64.656999999999996</v>
      </c>
    </row>
    <row r="20" spans="1:5" x14ac:dyDescent="0.2">
      <c r="A20" s="7"/>
      <c r="B20" s="1"/>
      <c r="D20" s="7" t="s">
        <v>52</v>
      </c>
      <c r="E20" s="1">
        <v>31.635000000000002</v>
      </c>
    </row>
    <row r="21" spans="1:5" x14ac:dyDescent="0.2">
      <c r="A21" s="7"/>
      <c r="B21" s="1"/>
      <c r="D21" s="7" t="s">
        <v>53</v>
      </c>
      <c r="E21" s="1">
        <v>40.924999999999997</v>
      </c>
    </row>
    <row r="22" spans="1:5" x14ac:dyDescent="0.2">
      <c r="A22" s="7"/>
      <c r="B22" s="1"/>
      <c r="D22" s="7">
        <v>214090037</v>
      </c>
      <c r="E22" s="1">
        <v>49.947000000000003</v>
      </c>
    </row>
    <row r="23" spans="1:5" x14ac:dyDescent="0.2">
      <c r="A23" s="7"/>
      <c r="B23" s="1"/>
      <c r="D23" s="2"/>
    </row>
    <row r="24" spans="1:5" x14ac:dyDescent="0.2">
      <c r="A24" s="7"/>
      <c r="B24" s="1"/>
      <c r="D24" s="3"/>
    </row>
    <row r="25" spans="1:5" x14ac:dyDescent="0.2">
      <c r="D25" s="3"/>
    </row>
    <row r="26" spans="1:5" x14ac:dyDescent="0.2">
      <c r="A26" s="7" t="s">
        <v>0</v>
      </c>
      <c r="B26" s="1">
        <f>COUNT(B5:B25)</f>
        <v>12</v>
      </c>
      <c r="D26" s="7" t="s">
        <v>0</v>
      </c>
      <c r="E26" s="1">
        <f>COUNT(E5:E25)</f>
        <v>18</v>
      </c>
    </row>
    <row r="27" spans="1:5" x14ac:dyDescent="0.2">
      <c r="A27" s="7" t="s">
        <v>1</v>
      </c>
      <c r="B27" s="9">
        <f>AVERAGE(B5:B25)</f>
        <v>89.573625000000007</v>
      </c>
      <c r="D27" s="7" t="s">
        <v>1</v>
      </c>
      <c r="E27" s="35">
        <f>AVERAGE(E5:E25)</f>
        <v>78.712777777777774</v>
      </c>
    </row>
    <row r="28" spans="1:5" ht="15" x14ac:dyDescent="0.2">
      <c r="A28" s="7" t="s">
        <v>2</v>
      </c>
      <c r="B28" s="6">
        <f>STDEV(B5:B25)</f>
        <v>48.475697222762562</v>
      </c>
      <c r="C28" s="20"/>
      <c r="D28" s="7" t="s">
        <v>2</v>
      </c>
      <c r="E28" s="35">
        <f>STDEV(E5:E25)</f>
        <v>53.149030292250266</v>
      </c>
    </row>
    <row r="29" spans="1:5" ht="15" x14ac:dyDescent="0.2">
      <c r="A29" s="7" t="s">
        <v>3</v>
      </c>
      <c r="B29" s="6">
        <f t="shared" ref="B29" si="0">B28/SQRT(B26)</f>
        <v>13.99372842035838</v>
      </c>
      <c r="C29" s="25"/>
      <c r="D29" s="7" t="s">
        <v>3</v>
      </c>
      <c r="E29" s="35">
        <f t="shared" ref="E29" si="1">E28/SQRT(E26)</f>
        <v>12.527346577713132</v>
      </c>
    </row>
    <row r="30" spans="1:5" x14ac:dyDescent="0.2">
      <c r="A30" s="10" t="s">
        <v>78</v>
      </c>
      <c r="B30" s="17">
        <v>7</v>
      </c>
      <c r="D30" s="10" t="s">
        <v>78</v>
      </c>
      <c r="E30" s="17">
        <v>11</v>
      </c>
    </row>
    <row r="31" spans="1:5" x14ac:dyDescent="0.2">
      <c r="C31" s="2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7A36-B7F5-4F84-8329-B71487EAB871}">
  <dimension ref="A1:E117"/>
  <sheetViews>
    <sheetView workbookViewId="0">
      <selection activeCell="J113" sqref="J113"/>
    </sheetView>
  </sheetViews>
  <sheetFormatPr baseColWidth="10" defaultColWidth="8.83203125" defaultRowHeight="15" x14ac:dyDescent="0.2"/>
  <cols>
    <col min="1" max="1" width="24.5" style="1" customWidth="1"/>
    <col min="2" max="2" width="19.1640625" style="8" customWidth="1"/>
    <col min="3" max="3" width="18.5" style="8" customWidth="1"/>
  </cols>
  <sheetData>
    <row r="1" spans="1:3" ht="16" x14ac:dyDescent="0.2">
      <c r="A1" s="14" t="s">
        <v>35</v>
      </c>
      <c r="B1" s="18"/>
      <c r="C1" s="10"/>
    </row>
    <row r="2" spans="1:3" ht="16" x14ac:dyDescent="0.2">
      <c r="A2" s="28" t="s">
        <v>70</v>
      </c>
      <c r="B2" s="18"/>
      <c r="C2" s="10"/>
    </row>
    <row r="3" spans="1:3" ht="16" x14ac:dyDescent="0.2">
      <c r="A3" s="28"/>
      <c r="B3" s="18"/>
      <c r="C3" s="10"/>
    </row>
    <row r="4" spans="1:3" ht="16" x14ac:dyDescent="0.2">
      <c r="A4" s="28"/>
      <c r="B4" s="10" t="s">
        <v>61</v>
      </c>
      <c r="C4" s="10"/>
    </row>
    <row r="5" spans="1:3" ht="16" x14ac:dyDescent="0.2">
      <c r="A5" s="28"/>
      <c r="B5" s="17">
        <v>134010010</v>
      </c>
      <c r="C5" s="17">
        <v>214090024</v>
      </c>
    </row>
    <row r="6" spans="1:3" ht="16" x14ac:dyDescent="0.2">
      <c r="A6" s="17" t="s">
        <v>58</v>
      </c>
      <c r="B6" s="17" t="s">
        <v>10</v>
      </c>
      <c r="C6" s="22" t="s">
        <v>56</v>
      </c>
    </row>
    <row r="7" spans="1:3" x14ac:dyDescent="0.2">
      <c r="A7" s="71">
        <v>0</v>
      </c>
      <c r="B7" s="21">
        <v>0</v>
      </c>
      <c r="C7" s="21">
        <v>0</v>
      </c>
    </row>
    <row r="8" spans="1:3" x14ac:dyDescent="0.2">
      <c r="A8" s="71">
        <v>100</v>
      </c>
      <c r="B8" s="21">
        <v>0.131579</v>
      </c>
      <c r="C8" s="21">
        <v>0.22522500000000001</v>
      </c>
    </row>
    <row r="9" spans="1:3" x14ac:dyDescent="0.2">
      <c r="A9" s="71">
        <v>200</v>
      </c>
      <c r="B9" s="21">
        <v>0.25</v>
      </c>
      <c r="C9" s="21">
        <v>0.44744699999999998</v>
      </c>
    </row>
    <row r="10" spans="1:3" x14ac:dyDescent="0.2">
      <c r="A10" s="71">
        <v>300</v>
      </c>
      <c r="B10" s="21">
        <v>0.28947400000000001</v>
      </c>
      <c r="C10" s="21">
        <v>0.60360400000000003</v>
      </c>
    </row>
    <row r="11" spans="1:3" x14ac:dyDescent="0.2">
      <c r="A11" s="71">
        <v>400</v>
      </c>
      <c r="B11" s="21">
        <v>0.381579</v>
      </c>
      <c r="C11" s="21">
        <v>0.69669700000000001</v>
      </c>
    </row>
    <row r="12" spans="1:3" x14ac:dyDescent="0.2">
      <c r="A12" s="71">
        <v>500</v>
      </c>
      <c r="B12" s="21">
        <v>0.40789500000000001</v>
      </c>
      <c r="C12" s="21">
        <v>0.77477499999999999</v>
      </c>
    </row>
    <row r="13" spans="1:3" x14ac:dyDescent="0.2">
      <c r="A13" s="71">
        <v>600</v>
      </c>
      <c r="B13" s="21">
        <v>0.44736799999999999</v>
      </c>
      <c r="C13" s="21">
        <v>0.81981999999999999</v>
      </c>
    </row>
    <row r="14" spans="1:3" x14ac:dyDescent="0.2">
      <c r="A14" s="71">
        <v>700</v>
      </c>
      <c r="B14" s="21">
        <v>0.44736799999999999</v>
      </c>
      <c r="C14" s="21">
        <v>0.86786799999999997</v>
      </c>
    </row>
    <row r="15" spans="1:3" x14ac:dyDescent="0.2">
      <c r="A15" s="71">
        <v>800</v>
      </c>
      <c r="B15" s="21">
        <v>0.46052599999999999</v>
      </c>
      <c r="C15" s="21">
        <v>0.88288299999999997</v>
      </c>
    </row>
    <row r="16" spans="1:3" x14ac:dyDescent="0.2">
      <c r="A16" s="71">
        <v>900</v>
      </c>
      <c r="B16" s="21">
        <v>0.47368399999999999</v>
      </c>
      <c r="C16" s="21">
        <v>0.91591599999999995</v>
      </c>
    </row>
    <row r="17" spans="1:3" x14ac:dyDescent="0.2">
      <c r="A17" s="71">
        <v>1000</v>
      </c>
      <c r="B17" s="21">
        <v>0.52631600000000001</v>
      </c>
      <c r="C17" s="21">
        <v>0.93093099999999995</v>
      </c>
    </row>
    <row r="18" spans="1:3" x14ac:dyDescent="0.2">
      <c r="A18" s="71">
        <v>1100</v>
      </c>
      <c r="B18" s="21">
        <v>0.55263200000000001</v>
      </c>
      <c r="C18" s="21">
        <v>0.954955</v>
      </c>
    </row>
    <row r="19" spans="1:3" x14ac:dyDescent="0.2">
      <c r="A19" s="71">
        <v>1200</v>
      </c>
      <c r="B19" s="21">
        <v>0.57894699999999999</v>
      </c>
      <c r="C19" s="21">
        <v>0.96096099999999995</v>
      </c>
    </row>
    <row r="20" spans="1:3" x14ac:dyDescent="0.2">
      <c r="A20" s="71">
        <v>1300</v>
      </c>
      <c r="B20" s="21">
        <v>0.605263</v>
      </c>
      <c r="C20" s="21">
        <v>0.96997</v>
      </c>
    </row>
    <row r="21" spans="1:3" x14ac:dyDescent="0.2">
      <c r="A21" s="71">
        <v>1400</v>
      </c>
      <c r="B21" s="21">
        <v>0.618421</v>
      </c>
      <c r="C21" s="21">
        <v>0.97597599999999995</v>
      </c>
    </row>
    <row r="22" spans="1:3" x14ac:dyDescent="0.2">
      <c r="A22" s="71">
        <v>1500</v>
      </c>
      <c r="B22" s="21">
        <v>0.631579</v>
      </c>
      <c r="C22" s="21">
        <v>0.984985</v>
      </c>
    </row>
    <row r="23" spans="1:3" x14ac:dyDescent="0.2">
      <c r="A23" s="71">
        <v>1600</v>
      </c>
      <c r="B23" s="21">
        <v>0.644737</v>
      </c>
      <c r="C23" s="21">
        <v>0.98798799999999998</v>
      </c>
    </row>
    <row r="24" spans="1:3" x14ac:dyDescent="0.2">
      <c r="A24" s="71">
        <v>1700</v>
      </c>
      <c r="B24" s="21">
        <v>0.65789500000000001</v>
      </c>
      <c r="C24" s="21">
        <v>0.98798799999999998</v>
      </c>
    </row>
    <row r="25" spans="1:3" x14ac:dyDescent="0.2">
      <c r="A25" s="71">
        <v>1800</v>
      </c>
      <c r="B25" s="21">
        <v>0.67105300000000001</v>
      </c>
      <c r="C25" s="21">
        <v>0.98798799999999998</v>
      </c>
    </row>
    <row r="26" spans="1:3" x14ac:dyDescent="0.2">
      <c r="A26" s="71">
        <v>1900</v>
      </c>
      <c r="B26" s="21">
        <v>0.71052599999999999</v>
      </c>
      <c r="C26" s="21">
        <v>0.99099099999999996</v>
      </c>
    </row>
    <row r="27" spans="1:3" x14ac:dyDescent="0.2">
      <c r="A27" s="71">
        <v>2000</v>
      </c>
      <c r="B27" s="21">
        <v>0.71052599999999999</v>
      </c>
      <c r="C27" s="21">
        <v>0.99399400000000004</v>
      </c>
    </row>
    <row r="28" spans="1:3" x14ac:dyDescent="0.2">
      <c r="A28" s="71">
        <v>2100</v>
      </c>
      <c r="B28" s="21">
        <v>0.71052599999999999</v>
      </c>
      <c r="C28" s="21">
        <v>0.99399400000000004</v>
      </c>
    </row>
    <row r="29" spans="1:3" x14ac:dyDescent="0.2">
      <c r="A29" s="71">
        <v>2200</v>
      </c>
      <c r="B29" s="21">
        <v>0.71052599999999999</v>
      </c>
      <c r="C29" s="21">
        <v>0.99399400000000004</v>
      </c>
    </row>
    <row r="30" spans="1:3" x14ac:dyDescent="0.2">
      <c r="A30" s="71">
        <v>2300</v>
      </c>
      <c r="B30" s="21">
        <v>0.736842</v>
      </c>
      <c r="C30" s="21">
        <v>0.99399400000000004</v>
      </c>
    </row>
    <row r="31" spans="1:3" x14ac:dyDescent="0.2">
      <c r="A31" s="71">
        <v>2400</v>
      </c>
      <c r="B31" s="21">
        <v>0.75</v>
      </c>
      <c r="C31" s="21">
        <v>0.99399400000000004</v>
      </c>
    </row>
    <row r="32" spans="1:3" x14ac:dyDescent="0.2">
      <c r="A32" s="71">
        <v>2500</v>
      </c>
      <c r="B32" s="21">
        <v>0.763158</v>
      </c>
      <c r="C32" s="21">
        <v>0.99399400000000004</v>
      </c>
    </row>
    <row r="33" spans="1:3" x14ac:dyDescent="0.2">
      <c r="A33" s="71">
        <v>2600</v>
      </c>
      <c r="B33" s="21">
        <v>0.77631600000000001</v>
      </c>
      <c r="C33" s="21">
        <v>0.99399400000000004</v>
      </c>
    </row>
    <row r="34" spans="1:3" x14ac:dyDescent="0.2">
      <c r="A34" s="71">
        <v>2700</v>
      </c>
      <c r="B34" s="21">
        <v>0.80263200000000001</v>
      </c>
      <c r="C34" s="21">
        <v>0.99399400000000004</v>
      </c>
    </row>
    <row r="35" spans="1:3" x14ac:dyDescent="0.2">
      <c r="A35" s="71">
        <v>2800</v>
      </c>
      <c r="B35" s="21">
        <v>0.81579000000000002</v>
      </c>
      <c r="C35" s="21">
        <v>0.99399400000000004</v>
      </c>
    </row>
    <row r="36" spans="1:3" x14ac:dyDescent="0.2">
      <c r="A36" s="71">
        <v>2900</v>
      </c>
      <c r="B36" s="21">
        <v>0.81579000000000002</v>
      </c>
      <c r="C36" s="21">
        <v>0.99399400000000004</v>
      </c>
    </row>
    <row r="37" spans="1:3" x14ac:dyDescent="0.2">
      <c r="A37" s="71">
        <v>3000</v>
      </c>
      <c r="B37" s="21">
        <v>0.82894699999999999</v>
      </c>
      <c r="C37" s="21">
        <v>0.99399400000000004</v>
      </c>
    </row>
    <row r="38" spans="1:3" x14ac:dyDescent="0.2">
      <c r="A38" s="71">
        <v>3100</v>
      </c>
      <c r="B38" s="21">
        <v>0.82894699999999999</v>
      </c>
      <c r="C38" s="21">
        <v>0.99399400000000004</v>
      </c>
    </row>
    <row r="39" spans="1:3" x14ac:dyDescent="0.2">
      <c r="A39" s="71">
        <v>3200</v>
      </c>
      <c r="B39" s="21">
        <v>0.82894699999999999</v>
      </c>
      <c r="C39" s="21">
        <v>1</v>
      </c>
    </row>
    <row r="40" spans="1:3" x14ac:dyDescent="0.2">
      <c r="A40" s="71">
        <v>3300</v>
      </c>
      <c r="B40" s="21">
        <v>0.84210499999999999</v>
      </c>
      <c r="C40" s="21"/>
    </row>
    <row r="41" spans="1:3" x14ac:dyDescent="0.2">
      <c r="A41" s="71">
        <v>3400</v>
      </c>
      <c r="B41" s="21">
        <v>0.868421</v>
      </c>
      <c r="C41" s="21"/>
    </row>
    <row r="42" spans="1:3" x14ac:dyDescent="0.2">
      <c r="A42" s="71">
        <v>3500</v>
      </c>
      <c r="B42" s="21">
        <v>0.868421</v>
      </c>
      <c r="C42" s="21"/>
    </row>
    <row r="43" spans="1:3" x14ac:dyDescent="0.2">
      <c r="A43" s="71">
        <v>3600</v>
      </c>
      <c r="B43" s="21">
        <v>0.868421</v>
      </c>
      <c r="C43" s="21"/>
    </row>
    <row r="44" spans="1:3" x14ac:dyDescent="0.2">
      <c r="A44" s="71">
        <v>3700</v>
      </c>
      <c r="B44" s="21">
        <v>0.881579</v>
      </c>
      <c r="C44" s="21"/>
    </row>
    <row r="45" spans="1:3" x14ac:dyDescent="0.2">
      <c r="A45" s="71">
        <v>3800</v>
      </c>
      <c r="B45" s="21">
        <v>0.90789500000000001</v>
      </c>
      <c r="C45" s="21"/>
    </row>
    <row r="46" spans="1:3" x14ac:dyDescent="0.2">
      <c r="A46" s="71">
        <v>3900</v>
      </c>
      <c r="B46" s="21">
        <v>0.90789500000000001</v>
      </c>
      <c r="C46" s="21"/>
    </row>
    <row r="47" spans="1:3" x14ac:dyDescent="0.2">
      <c r="A47" s="71">
        <v>4000</v>
      </c>
      <c r="B47" s="21">
        <v>0.90789500000000001</v>
      </c>
      <c r="C47" s="21"/>
    </row>
    <row r="48" spans="1:3" x14ac:dyDescent="0.2">
      <c r="A48" s="71">
        <v>4100</v>
      </c>
      <c r="B48" s="21">
        <v>0.90789500000000001</v>
      </c>
      <c r="C48" s="21"/>
    </row>
    <row r="49" spans="1:3" x14ac:dyDescent="0.2">
      <c r="A49" s="71">
        <v>4200</v>
      </c>
      <c r="B49" s="21">
        <v>0.90789500000000001</v>
      </c>
      <c r="C49" s="21"/>
    </row>
    <row r="50" spans="1:3" x14ac:dyDescent="0.2">
      <c r="A50" s="71">
        <v>4300</v>
      </c>
      <c r="B50" s="21">
        <v>0.93421100000000001</v>
      </c>
      <c r="C50" s="21"/>
    </row>
    <row r="51" spans="1:3" x14ac:dyDescent="0.2">
      <c r="A51" s="71">
        <v>4400</v>
      </c>
      <c r="B51" s="21">
        <v>0.93421100000000001</v>
      </c>
      <c r="C51" s="21"/>
    </row>
    <row r="52" spans="1:3" x14ac:dyDescent="0.2">
      <c r="A52" s="71">
        <v>4500</v>
      </c>
      <c r="B52" s="21">
        <v>0.93421100000000001</v>
      </c>
      <c r="C52" s="21"/>
    </row>
    <row r="53" spans="1:3" x14ac:dyDescent="0.2">
      <c r="A53" s="71">
        <v>4600</v>
      </c>
      <c r="B53" s="21">
        <v>0.93421100000000001</v>
      </c>
      <c r="C53" s="21"/>
    </row>
    <row r="54" spans="1:3" x14ac:dyDescent="0.2">
      <c r="A54" s="71">
        <v>4700</v>
      </c>
      <c r="B54" s="21">
        <v>0.94736799999999999</v>
      </c>
      <c r="C54" s="21"/>
    </row>
    <row r="55" spans="1:3" x14ac:dyDescent="0.2">
      <c r="A55" s="71">
        <v>4800</v>
      </c>
      <c r="B55" s="21">
        <v>0.94736799999999999</v>
      </c>
      <c r="C55" s="21"/>
    </row>
    <row r="56" spans="1:3" x14ac:dyDescent="0.2">
      <c r="A56" s="71">
        <v>4900</v>
      </c>
      <c r="B56" s="21">
        <v>0.94736799999999999</v>
      </c>
      <c r="C56" s="21"/>
    </row>
    <row r="57" spans="1:3" x14ac:dyDescent="0.2">
      <c r="A57" s="71">
        <v>5000</v>
      </c>
      <c r="B57" s="21">
        <v>0.94736799999999999</v>
      </c>
      <c r="C57" s="21"/>
    </row>
    <row r="58" spans="1:3" x14ac:dyDescent="0.2">
      <c r="A58" s="71">
        <v>5100</v>
      </c>
      <c r="B58" s="21">
        <v>0.94736799999999999</v>
      </c>
      <c r="C58" s="21"/>
    </row>
    <row r="59" spans="1:3" x14ac:dyDescent="0.2">
      <c r="A59" s="71">
        <v>5200</v>
      </c>
      <c r="B59" s="21">
        <v>0.94736799999999999</v>
      </c>
      <c r="C59" s="21"/>
    </row>
    <row r="60" spans="1:3" x14ac:dyDescent="0.2">
      <c r="A60" s="71">
        <v>5300</v>
      </c>
      <c r="B60" s="21">
        <v>0.94736799999999999</v>
      </c>
      <c r="C60" s="21"/>
    </row>
    <row r="61" spans="1:3" x14ac:dyDescent="0.2">
      <c r="A61" s="71">
        <v>5400</v>
      </c>
      <c r="B61" s="21">
        <v>0.94736799999999999</v>
      </c>
      <c r="C61" s="21"/>
    </row>
    <row r="62" spans="1:3" x14ac:dyDescent="0.2">
      <c r="A62" s="71">
        <v>5500</v>
      </c>
      <c r="B62" s="21">
        <v>0.94736799999999999</v>
      </c>
      <c r="C62" s="21"/>
    </row>
    <row r="63" spans="1:3" x14ac:dyDescent="0.2">
      <c r="A63" s="71">
        <v>5600</v>
      </c>
      <c r="B63" s="21">
        <v>0.94736799999999999</v>
      </c>
      <c r="C63" s="21"/>
    </row>
    <row r="64" spans="1:3" x14ac:dyDescent="0.2">
      <c r="A64" s="71">
        <v>5700</v>
      </c>
      <c r="B64" s="21">
        <v>0.94736799999999999</v>
      </c>
      <c r="C64" s="21"/>
    </row>
    <row r="65" spans="1:3" x14ac:dyDescent="0.2">
      <c r="A65" s="71">
        <v>5800</v>
      </c>
      <c r="B65" s="21">
        <v>0.97368399999999999</v>
      </c>
      <c r="C65" s="21"/>
    </row>
    <row r="66" spans="1:3" x14ac:dyDescent="0.2">
      <c r="A66" s="71">
        <v>5900</v>
      </c>
      <c r="B66" s="21">
        <v>0.97368399999999999</v>
      </c>
      <c r="C66" s="21"/>
    </row>
    <row r="67" spans="1:3" x14ac:dyDescent="0.2">
      <c r="A67" s="71">
        <v>6000</v>
      </c>
      <c r="B67" s="21">
        <v>0.97368399999999999</v>
      </c>
      <c r="C67" s="21"/>
    </row>
    <row r="68" spans="1:3" x14ac:dyDescent="0.2">
      <c r="A68" s="71">
        <v>6100</v>
      </c>
      <c r="B68" s="21">
        <v>0.97368399999999999</v>
      </c>
      <c r="C68" s="21"/>
    </row>
    <row r="69" spans="1:3" x14ac:dyDescent="0.2">
      <c r="A69" s="71">
        <v>6200</v>
      </c>
      <c r="B69" s="21">
        <v>0.97368399999999999</v>
      </c>
      <c r="C69" s="21"/>
    </row>
    <row r="70" spans="1:3" x14ac:dyDescent="0.2">
      <c r="A70" s="71">
        <v>6300</v>
      </c>
      <c r="B70" s="21">
        <v>0.97368399999999999</v>
      </c>
      <c r="C70" s="21"/>
    </row>
    <row r="71" spans="1:3" x14ac:dyDescent="0.2">
      <c r="A71" s="71">
        <v>6400</v>
      </c>
      <c r="B71" s="21">
        <v>0.97368399999999999</v>
      </c>
      <c r="C71" s="21"/>
    </row>
    <row r="72" spans="1:3" x14ac:dyDescent="0.2">
      <c r="A72" s="71">
        <v>6500</v>
      </c>
      <c r="B72" s="21">
        <v>0.97368399999999999</v>
      </c>
      <c r="C72" s="21"/>
    </row>
    <row r="73" spans="1:3" x14ac:dyDescent="0.2">
      <c r="A73" s="71">
        <v>6600</v>
      </c>
      <c r="B73" s="21">
        <v>0.97368399999999999</v>
      </c>
      <c r="C73" s="21"/>
    </row>
    <row r="74" spans="1:3" x14ac:dyDescent="0.2">
      <c r="A74" s="71">
        <v>6700</v>
      </c>
      <c r="B74" s="21">
        <v>0.97368399999999999</v>
      </c>
      <c r="C74" s="21"/>
    </row>
    <row r="75" spans="1:3" x14ac:dyDescent="0.2">
      <c r="A75" s="71">
        <v>6800</v>
      </c>
      <c r="B75" s="21">
        <v>0.97368399999999999</v>
      </c>
      <c r="C75" s="21"/>
    </row>
    <row r="76" spans="1:3" x14ac:dyDescent="0.2">
      <c r="A76" s="71">
        <v>6900</v>
      </c>
      <c r="B76" s="21">
        <v>0.986842</v>
      </c>
      <c r="C76" s="21"/>
    </row>
    <row r="77" spans="1:3" x14ac:dyDescent="0.2">
      <c r="A77" s="71">
        <v>7000</v>
      </c>
      <c r="B77" s="21">
        <v>0.986842</v>
      </c>
      <c r="C77" s="21"/>
    </row>
    <row r="78" spans="1:3" x14ac:dyDescent="0.2">
      <c r="A78" s="71">
        <v>7100</v>
      </c>
      <c r="B78" s="21">
        <v>0.986842</v>
      </c>
      <c r="C78" s="21"/>
    </row>
    <row r="79" spans="1:3" x14ac:dyDescent="0.2">
      <c r="A79" s="71">
        <v>7200</v>
      </c>
      <c r="B79" s="21">
        <v>0.986842</v>
      </c>
      <c r="C79" s="21"/>
    </row>
    <row r="80" spans="1:3" x14ac:dyDescent="0.2">
      <c r="A80" s="71">
        <v>7300</v>
      </c>
      <c r="B80" s="21">
        <v>0.986842</v>
      </c>
      <c r="C80" s="21"/>
    </row>
    <row r="81" spans="1:3" x14ac:dyDescent="0.2">
      <c r="A81" s="71">
        <v>7400</v>
      </c>
      <c r="B81" s="21">
        <v>0.986842</v>
      </c>
      <c r="C81" s="21"/>
    </row>
    <row r="82" spans="1:3" x14ac:dyDescent="0.2">
      <c r="A82" s="71">
        <v>7500</v>
      </c>
      <c r="B82" s="21">
        <v>0.986842</v>
      </c>
      <c r="C82" s="21"/>
    </row>
    <row r="83" spans="1:3" x14ac:dyDescent="0.2">
      <c r="A83" s="71">
        <v>7600</v>
      </c>
      <c r="B83" s="21">
        <v>0.986842</v>
      </c>
      <c r="C83" s="21"/>
    </row>
    <row r="84" spans="1:3" x14ac:dyDescent="0.2">
      <c r="A84" s="71">
        <v>7700</v>
      </c>
      <c r="B84" s="21">
        <v>0.986842</v>
      </c>
      <c r="C84" s="21"/>
    </row>
    <row r="85" spans="1:3" x14ac:dyDescent="0.2">
      <c r="A85" s="71">
        <v>7800</v>
      </c>
      <c r="B85" s="21">
        <v>0.986842</v>
      </c>
      <c r="C85" s="21"/>
    </row>
    <row r="86" spans="1:3" x14ac:dyDescent="0.2">
      <c r="A86" s="71">
        <v>7900</v>
      </c>
      <c r="B86" s="21">
        <v>0.986842</v>
      </c>
      <c r="C86" s="21"/>
    </row>
    <row r="87" spans="1:3" x14ac:dyDescent="0.2">
      <c r="A87" s="71">
        <v>8000</v>
      </c>
      <c r="B87" s="21">
        <v>0.986842</v>
      </c>
      <c r="C87" s="21"/>
    </row>
    <row r="88" spans="1:3" x14ac:dyDescent="0.2">
      <c r="A88" s="71">
        <v>8100</v>
      </c>
      <c r="B88" s="21">
        <v>0.986842</v>
      </c>
      <c r="C88" s="21"/>
    </row>
    <row r="89" spans="1:3" x14ac:dyDescent="0.2">
      <c r="A89" s="71">
        <v>8200</v>
      </c>
      <c r="B89" s="21">
        <v>0.986842</v>
      </c>
      <c r="C89" s="21"/>
    </row>
    <row r="90" spans="1:3" x14ac:dyDescent="0.2">
      <c r="A90" s="71">
        <v>8300</v>
      </c>
      <c r="B90" s="21">
        <v>0.986842</v>
      </c>
      <c r="C90" s="21"/>
    </row>
    <row r="91" spans="1:3" x14ac:dyDescent="0.2">
      <c r="A91" s="71">
        <v>8400</v>
      </c>
      <c r="B91" s="21">
        <v>0.986842</v>
      </c>
      <c r="C91" s="21"/>
    </row>
    <row r="92" spans="1:3" x14ac:dyDescent="0.2">
      <c r="A92" s="71">
        <v>8500</v>
      </c>
      <c r="B92" s="21">
        <v>0.986842</v>
      </c>
      <c r="C92" s="21"/>
    </row>
    <row r="93" spans="1:3" x14ac:dyDescent="0.2">
      <c r="A93" s="71">
        <v>8600</v>
      </c>
      <c r="B93" s="21">
        <v>0.986842</v>
      </c>
      <c r="C93" s="21"/>
    </row>
    <row r="94" spans="1:3" x14ac:dyDescent="0.2">
      <c r="A94" s="71">
        <v>8700</v>
      </c>
      <c r="B94" s="21">
        <v>0.986842</v>
      </c>
      <c r="C94" s="21"/>
    </row>
    <row r="95" spans="1:3" x14ac:dyDescent="0.2">
      <c r="A95" s="71">
        <v>8800</v>
      </c>
      <c r="B95" s="21">
        <v>0.986842</v>
      </c>
      <c r="C95" s="21"/>
    </row>
    <row r="96" spans="1:3" x14ac:dyDescent="0.2">
      <c r="A96" s="71">
        <v>8900</v>
      </c>
      <c r="B96" s="21">
        <v>0.986842</v>
      </c>
      <c r="C96" s="21"/>
    </row>
    <row r="97" spans="1:3" x14ac:dyDescent="0.2">
      <c r="A97" s="71">
        <v>9000</v>
      </c>
      <c r="B97" s="21">
        <v>0.986842</v>
      </c>
      <c r="C97" s="21"/>
    </row>
    <row r="98" spans="1:3" x14ac:dyDescent="0.2">
      <c r="A98" s="71">
        <v>9100</v>
      </c>
      <c r="B98" s="21">
        <v>0.986842</v>
      </c>
      <c r="C98" s="21"/>
    </row>
    <row r="99" spans="1:3" x14ac:dyDescent="0.2">
      <c r="A99" s="71">
        <v>9200</v>
      </c>
      <c r="B99" s="21">
        <v>0.986842</v>
      </c>
      <c r="C99" s="21"/>
    </row>
    <row r="100" spans="1:3" x14ac:dyDescent="0.2">
      <c r="A100" s="71">
        <v>9300</v>
      </c>
      <c r="B100" s="21">
        <v>0.986842</v>
      </c>
      <c r="C100" s="21"/>
    </row>
    <row r="101" spans="1:3" x14ac:dyDescent="0.2">
      <c r="A101" s="71">
        <v>9400</v>
      </c>
      <c r="B101" s="21">
        <v>0.986842</v>
      </c>
      <c r="C101" s="21"/>
    </row>
    <row r="102" spans="1:3" x14ac:dyDescent="0.2">
      <c r="A102" s="71">
        <v>9500</v>
      </c>
      <c r="B102" s="21">
        <v>0.986842</v>
      </c>
      <c r="C102" s="21"/>
    </row>
    <row r="103" spans="1:3" x14ac:dyDescent="0.2">
      <c r="A103" s="71">
        <v>9600</v>
      </c>
      <c r="B103" s="21">
        <v>0.986842</v>
      </c>
      <c r="C103" s="21"/>
    </row>
    <row r="104" spans="1:3" x14ac:dyDescent="0.2">
      <c r="A104" s="71">
        <v>9700</v>
      </c>
      <c r="B104" s="21">
        <v>0.986842</v>
      </c>
      <c r="C104" s="21"/>
    </row>
    <row r="105" spans="1:3" x14ac:dyDescent="0.2">
      <c r="A105" s="71">
        <v>9800</v>
      </c>
      <c r="B105" s="21">
        <v>0.986842</v>
      </c>
      <c r="C105" s="21"/>
    </row>
    <row r="106" spans="1:3" x14ac:dyDescent="0.2">
      <c r="A106" s="71">
        <v>9900</v>
      </c>
      <c r="B106" s="21">
        <v>0.986842</v>
      </c>
      <c r="C106" s="21"/>
    </row>
    <row r="107" spans="1:3" x14ac:dyDescent="0.2">
      <c r="A107" s="71">
        <v>10000</v>
      </c>
      <c r="B107" s="21">
        <v>0.986842</v>
      </c>
      <c r="C107" s="21"/>
    </row>
    <row r="108" spans="1:3" x14ac:dyDescent="0.2">
      <c r="A108" s="71">
        <v>10100</v>
      </c>
      <c r="B108" s="21">
        <v>1</v>
      </c>
      <c r="C108" s="21"/>
    </row>
    <row r="113" spans="1:5" x14ac:dyDescent="0.2">
      <c r="A113" s="7"/>
      <c r="B113" s="1"/>
      <c r="C113" s="1"/>
      <c r="D113" s="7"/>
      <c r="E113" s="1"/>
    </row>
    <row r="114" spans="1:5" x14ac:dyDescent="0.2">
      <c r="A114" s="7"/>
      <c r="B114" s="9"/>
      <c r="C114" s="9"/>
      <c r="D114" s="7"/>
      <c r="E114" s="35"/>
    </row>
    <row r="115" spans="1:5" x14ac:dyDescent="0.2">
      <c r="A115" s="7"/>
      <c r="B115" s="6"/>
      <c r="C115" s="6"/>
      <c r="D115" s="7"/>
      <c r="E115" s="35"/>
    </row>
    <row r="116" spans="1:5" x14ac:dyDescent="0.2">
      <c r="A116" s="7"/>
      <c r="B116" s="6"/>
      <c r="C116" s="6"/>
      <c r="D116" s="7"/>
      <c r="E116" s="35"/>
    </row>
    <row r="117" spans="1:5" ht="16" x14ac:dyDescent="0.2">
      <c r="A117" s="10"/>
      <c r="B117" s="17"/>
      <c r="C117" s="17"/>
      <c r="D117" s="10"/>
      <c r="E117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CB8AE-EC8B-41BA-B7B8-716427EEA81E}">
  <dimension ref="A1:C50"/>
  <sheetViews>
    <sheetView workbookViewId="0">
      <selection activeCell="A46" sqref="A46:C51"/>
    </sheetView>
  </sheetViews>
  <sheetFormatPr baseColWidth="10" defaultColWidth="8.83203125" defaultRowHeight="16" x14ac:dyDescent="0.2"/>
  <cols>
    <col min="1" max="1" width="23.83203125" style="42" customWidth="1"/>
    <col min="2" max="2" width="13.6640625" style="42" customWidth="1"/>
    <col min="3" max="3" width="14.6640625" style="42" customWidth="1"/>
  </cols>
  <sheetData>
    <row r="1" spans="1:3" x14ac:dyDescent="0.2">
      <c r="A1" s="18" t="s">
        <v>35</v>
      </c>
      <c r="B1" s="18"/>
      <c r="C1" s="10"/>
    </row>
    <row r="2" spans="1:3" x14ac:dyDescent="0.2">
      <c r="A2" s="18" t="s">
        <v>70</v>
      </c>
      <c r="B2" s="18"/>
      <c r="C2" s="10"/>
    </row>
    <row r="3" spans="1:3" x14ac:dyDescent="0.2">
      <c r="A3" s="18"/>
      <c r="B3" s="18"/>
      <c r="C3" s="10"/>
    </row>
    <row r="4" spans="1:3" x14ac:dyDescent="0.2">
      <c r="A4" s="18"/>
      <c r="B4" s="10"/>
      <c r="C4" s="10"/>
    </row>
    <row r="5" spans="1:3" x14ac:dyDescent="0.2">
      <c r="A5" s="18"/>
      <c r="B5" s="17" t="s">
        <v>72</v>
      </c>
      <c r="C5" s="17"/>
    </row>
    <row r="6" spans="1:3" x14ac:dyDescent="0.2">
      <c r="A6" s="10"/>
      <c r="B6" s="28">
        <v>134010010</v>
      </c>
      <c r="C6" s="28">
        <v>214090024</v>
      </c>
    </row>
    <row r="7" spans="1:3" x14ac:dyDescent="0.2">
      <c r="A7" s="28" t="s">
        <v>71</v>
      </c>
      <c r="B7" s="17" t="s">
        <v>10</v>
      </c>
      <c r="C7" s="22" t="s">
        <v>56</v>
      </c>
    </row>
    <row r="8" spans="1:3" x14ac:dyDescent="0.2">
      <c r="A8" s="17">
        <v>0</v>
      </c>
      <c r="B8" s="10">
        <v>0</v>
      </c>
      <c r="C8" s="10">
        <v>0</v>
      </c>
    </row>
    <row r="9" spans="1:3" x14ac:dyDescent="0.2">
      <c r="A9" s="17">
        <v>5</v>
      </c>
      <c r="B9" s="10">
        <v>2.63E-2</v>
      </c>
      <c r="C9" s="10">
        <v>0</v>
      </c>
    </row>
    <row r="10" spans="1:3" x14ac:dyDescent="0.2">
      <c r="A10" s="17">
        <v>10</v>
      </c>
      <c r="B10" s="10">
        <v>0.57894699999999999</v>
      </c>
      <c r="C10" s="10">
        <v>6.6100000000000006E-2</v>
      </c>
    </row>
    <row r="11" spans="1:3" x14ac:dyDescent="0.2">
      <c r="A11" s="17">
        <v>15</v>
      </c>
      <c r="B11" s="10">
        <v>0.93421100000000001</v>
      </c>
      <c r="C11" s="10">
        <v>0.46846900000000002</v>
      </c>
    </row>
    <row r="12" spans="1:3" x14ac:dyDescent="0.2">
      <c r="A12" s="17">
        <v>20</v>
      </c>
      <c r="B12" s="10">
        <v>0.97368399999999999</v>
      </c>
      <c r="C12" s="10">
        <v>0.74174200000000001</v>
      </c>
    </row>
    <row r="13" spans="1:3" x14ac:dyDescent="0.2">
      <c r="A13" s="17">
        <v>25</v>
      </c>
      <c r="B13" s="10">
        <v>1</v>
      </c>
      <c r="C13" s="10">
        <v>0.88588599999999995</v>
      </c>
    </row>
    <row r="14" spans="1:3" x14ac:dyDescent="0.2">
      <c r="A14" s="17">
        <v>30</v>
      </c>
      <c r="B14" s="10"/>
      <c r="C14" s="10">
        <v>0.93093099999999995</v>
      </c>
    </row>
    <row r="15" spans="1:3" x14ac:dyDescent="0.2">
      <c r="A15" s="17">
        <v>35</v>
      </c>
      <c r="B15" s="10"/>
      <c r="C15" s="10">
        <v>0.94594599999999995</v>
      </c>
    </row>
    <row r="16" spans="1:3" x14ac:dyDescent="0.2">
      <c r="A16" s="17">
        <v>40</v>
      </c>
      <c r="B16" s="10"/>
      <c r="C16" s="10">
        <v>0.96696700000000002</v>
      </c>
    </row>
    <row r="17" spans="1:3" x14ac:dyDescent="0.2">
      <c r="A17" s="17">
        <v>45</v>
      </c>
      <c r="B17" s="10"/>
      <c r="C17" s="10">
        <v>0.97597599999999995</v>
      </c>
    </row>
    <row r="18" spans="1:3" x14ac:dyDescent="0.2">
      <c r="A18" s="17">
        <v>50</v>
      </c>
      <c r="B18" s="10"/>
      <c r="C18" s="10">
        <v>0.97897900000000004</v>
      </c>
    </row>
    <row r="19" spans="1:3" x14ac:dyDescent="0.2">
      <c r="A19" s="17">
        <v>55</v>
      </c>
      <c r="B19" s="10"/>
      <c r="C19" s="10">
        <v>0.97897900000000004</v>
      </c>
    </row>
    <row r="20" spans="1:3" x14ac:dyDescent="0.2">
      <c r="A20" s="17">
        <v>60</v>
      </c>
      <c r="B20" s="10"/>
      <c r="C20" s="10">
        <v>0.98198200000000002</v>
      </c>
    </row>
    <row r="21" spans="1:3" x14ac:dyDescent="0.2">
      <c r="A21" s="17">
        <v>65</v>
      </c>
      <c r="B21" s="10"/>
      <c r="C21" s="10">
        <v>0.98198200000000002</v>
      </c>
    </row>
    <row r="22" spans="1:3" x14ac:dyDescent="0.2">
      <c r="A22" s="17">
        <v>70</v>
      </c>
      <c r="B22" s="10"/>
      <c r="C22" s="10">
        <v>0.98198200000000002</v>
      </c>
    </row>
    <row r="23" spans="1:3" x14ac:dyDescent="0.2">
      <c r="A23" s="17">
        <v>75</v>
      </c>
      <c r="B23" s="10"/>
      <c r="C23" s="10">
        <v>0.98198200000000002</v>
      </c>
    </row>
    <row r="24" spans="1:3" x14ac:dyDescent="0.2">
      <c r="A24" s="17">
        <v>80</v>
      </c>
      <c r="B24" s="10"/>
      <c r="C24" s="10">
        <v>0.98198200000000002</v>
      </c>
    </row>
    <row r="25" spans="1:3" x14ac:dyDescent="0.2">
      <c r="A25" s="17">
        <v>85</v>
      </c>
      <c r="B25" s="10"/>
      <c r="C25" s="10">
        <v>0.98198200000000002</v>
      </c>
    </row>
    <row r="26" spans="1:3" x14ac:dyDescent="0.2">
      <c r="A26" s="17">
        <v>90</v>
      </c>
      <c r="B26" s="10"/>
      <c r="C26" s="10">
        <v>0.984985</v>
      </c>
    </row>
    <row r="27" spans="1:3" x14ac:dyDescent="0.2">
      <c r="A27" s="17">
        <v>95</v>
      </c>
      <c r="B27" s="10"/>
      <c r="C27" s="10">
        <v>0.984985</v>
      </c>
    </row>
    <row r="28" spans="1:3" x14ac:dyDescent="0.2">
      <c r="A28" s="17">
        <v>100</v>
      </c>
      <c r="B28" s="10"/>
      <c r="C28" s="10">
        <v>0.984985</v>
      </c>
    </row>
    <row r="29" spans="1:3" x14ac:dyDescent="0.2">
      <c r="A29" s="17">
        <v>105</v>
      </c>
      <c r="B29" s="10"/>
      <c r="C29" s="10">
        <v>0.98798799999999998</v>
      </c>
    </row>
    <row r="30" spans="1:3" x14ac:dyDescent="0.2">
      <c r="A30" s="17">
        <v>110</v>
      </c>
      <c r="B30" s="10"/>
      <c r="C30" s="10">
        <v>0.98798799999999998</v>
      </c>
    </row>
    <row r="31" spans="1:3" x14ac:dyDescent="0.2">
      <c r="A31" s="17">
        <v>115</v>
      </c>
      <c r="B31" s="10"/>
      <c r="C31" s="10">
        <v>0.98798799999999998</v>
      </c>
    </row>
    <row r="32" spans="1:3" x14ac:dyDescent="0.2">
      <c r="A32" s="17">
        <v>120</v>
      </c>
      <c r="B32" s="10"/>
      <c r="C32" s="10">
        <v>0.99099099999999996</v>
      </c>
    </row>
    <row r="33" spans="1:3" x14ac:dyDescent="0.2">
      <c r="A33" s="17">
        <v>125</v>
      </c>
      <c r="B33" s="10"/>
      <c r="C33" s="10">
        <v>0.99099099999999996</v>
      </c>
    </row>
    <row r="34" spans="1:3" x14ac:dyDescent="0.2">
      <c r="A34" s="17">
        <v>130</v>
      </c>
      <c r="B34" s="10"/>
      <c r="C34" s="10">
        <v>0.99099099999999996</v>
      </c>
    </row>
    <row r="35" spans="1:3" x14ac:dyDescent="0.2">
      <c r="A35" s="17">
        <v>135</v>
      </c>
      <c r="B35" s="10"/>
      <c r="C35" s="10">
        <v>0.99699700000000002</v>
      </c>
    </row>
    <row r="36" spans="1:3" x14ac:dyDescent="0.2">
      <c r="A36" s="17">
        <v>140</v>
      </c>
      <c r="B36" s="10"/>
      <c r="C36" s="10">
        <v>0.99699700000000002</v>
      </c>
    </row>
    <row r="37" spans="1:3" x14ac:dyDescent="0.2">
      <c r="A37" s="17">
        <v>145</v>
      </c>
      <c r="B37" s="10"/>
      <c r="C37" s="10">
        <v>0.99699700000000002</v>
      </c>
    </row>
    <row r="38" spans="1:3" x14ac:dyDescent="0.2">
      <c r="A38" s="17">
        <v>150</v>
      </c>
      <c r="B38" s="10"/>
      <c r="C38" s="10">
        <v>0.99699700000000002</v>
      </c>
    </row>
    <row r="39" spans="1:3" x14ac:dyDescent="0.2">
      <c r="A39" s="17">
        <v>155</v>
      </c>
      <c r="B39" s="10"/>
      <c r="C39" s="10">
        <v>0.99699700000000002</v>
      </c>
    </row>
    <row r="40" spans="1:3" x14ac:dyDescent="0.2">
      <c r="A40" s="17">
        <v>160</v>
      </c>
      <c r="B40" s="10"/>
      <c r="C40" s="10">
        <v>0.99699700000000002</v>
      </c>
    </row>
    <row r="41" spans="1:3" x14ac:dyDescent="0.2">
      <c r="A41" s="17">
        <v>165</v>
      </c>
      <c r="B41" s="10"/>
      <c r="C41" s="10">
        <v>1</v>
      </c>
    </row>
    <row r="46" spans="1:3" ht="15" x14ac:dyDescent="0.2">
      <c r="A46" s="7"/>
      <c r="B46" s="1"/>
      <c r="C46" s="1"/>
    </row>
    <row r="47" spans="1:3" ht="15" x14ac:dyDescent="0.2">
      <c r="A47" s="7"/>
      <c r="B47" s="9"/>
      <c r="C47" s="9"/>
    </row>
    <row r="48" spans="1:3" ht="15" x14ac:dyDescent="0.2">
      <c r="A48" s="7"/>
      <c r="B48" s="6"/>
      <c r="C48" s="6"/>
    </row>
    <row r="49" spans="1:3" ht="15" x14ac:dyDescent="0.2">
      <c r="A49" s="7"/>
      <c r="B49" s="6"/>
      <c r="C49" s="6"/>
    </row>
    <row r="50" spans="1:3" x14ac:dyDescent="0.2">
      <c r="A50" s="10"/>
      <c r="B50" s="17"/>
      <c r="C50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5676-FDBD-4F3D-9005-899A7116D959}">
  <dimension ref="A1:E36"/>
  <sheetViews>
    <sheetView workbookViewId="0">
      <selection activeCell="L31" sqref="L31"/>
    </sheetView>
  </sheetViews>
  <sheetFormatPr baseColWidth="10" defaultColWidth="8.83203125" defaultRowHeight="16" x14ac:dyDescent="0.2"/>
  <cols>
    <col min="1" max="1" width="13.83203125" style="18" customWidth="1"/>
    <col min="2" max="2" width="15.83203125" style="18" customWidth="1"/>
    <col min="3" max="3" width="12.6640625" style="18" customWidth="1"/>
    <col min="4" max="4" width="12.83203125" style="18" customWidth="1"/>
    <col min="5" max="5" width="16.5" style="18" customWidth="1"/>
  </cols>
  <sheetData>
    <row r="1" spans="1:5" x14ac:dyDescent="0.2">
      <c r="A1" s="18" t="s">
        <v>7</v>
      </c>
    </row>
    <row r="2" spans="1:5" x14ac:dyDescent="0.2">
      <c r="C2" s="18" t="s">
        <v>61</v>
      </c>
    </row>
    <row r="3" spans="1:5" x14ac:dyDescent="0.2">
      <c r="A3" s="28" t="s">
        <v>12</v>
      </c>
      <c r="B3" s="17" t="s">
        <v>10</v>
      </c>
      <c r="C3" s="17"/>
      <c r="D3" s="17" t="s">
        <v>12</v>
      </c>
      <c r="E3" s="22" t="s">
        <v>56</v>
      </c>
    </row>
    <row r="4" spans="1:5" x14ac:dyDescent="0.2">
      <c r="A4" s="7">
        <v>132150043</v>
      </c>
      <c r="B4" s="1">
        <v>0.23899999999999999</v>
      </c>
      <c r="D4" s="1" t="s">
        <v>64</v>
      </c>
      <c r="E4" s="1">
        <v>0.68200000000000005</v>
      </c>
    </row>
    <row r="5" spans="1:5" x14ac:dyDescent="0.2">
      <c r="A5" s="7">
        <v>133130008</v>
      </c>
      <c r="B5" s="1">
        <v>0.19800000000000001</v>
      </c>
      <c r="D5" s="1" t="s">
        <v>65</v>
      </c>
      <c r="E5" s="1">
        <v>0.88900000000000001</v>
      </c>
    </row>
    <row r="6" spans="1:5" x14ac:dyDescent="0.2">
      <c r="A6" s="7">
        <v>134100010</v>
      </c>
      <c r="B6" s="1">
        <v>0.64200000000000002</v>
      </c>
      <c r="D6" s="1" t="s">
        <v>66</v>
      </c>
      <c r="E6" s="1">
        <v>1.9</v>
      </c>
    </row>
    <row r="7" spans="1:5" x14ac:dyDescent="0.2">
      <c r="A7" s="7">
        <v>134100025</v>
      </c>
      <c r="B7" s="1">
        <v>0.64200000000000002</v>
      </c>
      <c r="D7" s="1">
        <v>132120011</v>
      </c>
      <c r="E7" s="1">
        <v>1.06</v>
      </c>
    </row>
    <row r="8" spans="1:5" x14ac:dyDescent="0.2">
      <c r="A8" s="7">
        <v>191280008</v>
      </c>
      <c r="B8" s="1">
        <v>2.41</v>
      </c>
      <c r="D8" s="1">
        <v>132120023</v>
      </c>
      <c r="E8" s="1">
        <f>(4.33+3.48)/2</f>
        <v>3.9050000000000002</v>
      </c>
    </row>
    <row r="9" spans="1:5" x14ac:dyDescent="0.2">
      <c r="A9" s="7">
        <v>191290035</v>
      </c>
      <c r="B9" s="1">
        <v>1.278</v>
      </c>
      <c r="D9" s="1">
        <v>133150048</v>
      </c>
      <c r="E9" s="1">
        <v>0.79600000000000004</v>
      </c>
    </row>
    <row r="10" spans="1:5" x14ac:dyDescent="0.2">
      <c r="A10" s="7">
        <v>191290047</v>
      </c>
      <c r="B10" s="1">
        <v>0.61</v>
      </c>
      <c r="D10" s="1">
        <v>133270008</v>
      </c>
      <c r="E10" s="1">
        <v>1.6910000000000001</v>
      </c>
    </row>
    <row r="11" spans="1:5" x14ac:dyDescent="0.2">
      <c r="A11" s="7">
        <v>191290069</v>
      </c>
      <c r="B11" s="1">
        <v>1.579</v>
      </c>
      <c r="D11" s="1">
        <v>133270043</v>
      </c>
      <c r="E11" s="1">
        <v>0.86599999999999999</v>
      </c>
    </row>
    <row r="12" spans="1:5" x14ac:dyDescent="0.2">
      <c r="A12" s="7">
        <v>198130045</v>
      </c>
      <c r="B12" s="1">
        <v>2.6629999999999998</v>
      </c>
      <c r="D12" s="1">
        <v>135030028</v>
      </c>
      <c r="E12" s="1">
        <v>0.90400000000000003</v>
      </c>
    </row>
    <row r="13" spans="1:5" x14ac:dyDescent="0.2">
      <c r="A13" s="7">
        <v>198130056</v>
      </c>
      <c r="B13" s="1">
        <v>1.278</v>
      </c>
      <c r="D13" s="1">
        <v>135030040</v>
      </c>
      <c r="E13" s="1">
        <v>1.248</v>
      </c>
    </row>
    <row r="14" spans="1:5" x14ac:dyDescent="0.2">
      <c r="A14" s="7">
        <v>198130080</v>
      </c>
      <c r="B14" s="1">
        <v>1.04</v>
      </c>
      <c r="D14" s="1">
        <v>146210035</v>
      </c>
      <c r="E14" s="1">
        <v>4.0119999999999996</v>
      </c>
    </row>
    <row r="15" spans="1:5" x14ac:dyDescent="0.2">
      <c r="A15" s="7">
        <v>198130088</v>
      </c>
      <c r="B15" s="1">
        <v>0.81899999999999995</v>
      </c>
      <c r="D15" s="1">
        <v>146230015</v>
      </c>
      <c r="E15" s="1">
        <v>3.2839999999999998</v>
      </c>
    </row>
    <row r="16" spans="1:5" x14ac:dyDescent="0.2">
      <c r="A16" s="7" t="s">
        <v>62</v>
      </c>
      <c r="B16" s="1">
        <v>3.8359999999999999</v>
      </c>
      <c r="D16" s="1">
        <v>146280022</v>
      </c>
      <c r="E16" s="1">
        <v>4.1710000000000003</v>
      </c>
    </row>
    <row r="17" spans="1:5" x14ac:dyDescent="0.2">
      <c r="A17" s="8" t="s">
        <v>63</v>
      </c>
      <c r="B17" s="1">
        <v>1.7110000000000001</v>
      </c>
      <c r="D17" s="1" t="s">
        <v>67</v>
      </c>
      <c r="E17" s="1">
        <v>1.417</v>
      </c>
    </row>
    <row r="18" spans="1:5" x14ac:dyDescent="0.2">
      <c r="A18" s="13"/>
      <c r="B18" s="10"/>
      <c r="D18" s="1" t="s">
        <v>68</v>
      </c>
      <c r="E18" s="1">
        <v>2.6840000000000002</v>
      </c>
    </row>
    <row r="19" spans="1:5" x14ac:dyDescent="0.2">
      <c r="A19" s="13"/>
      <c r="B19" s="10"/>
      <c r="D19" s="1">
        <v>171230027</v>
      </c>
      <c r="E19" s="1">
        <v>2.7320000000000002</v>
      </c>
    </row>
    <row r="20" spans="1:5" x14ac:dyDescent="0.2">
      <c r="A20" s="13"/>
      <c r="B20" s="10"/>
      <c r="D20" s="1">
        <v>191120040</v>
      </c>
      <c r="E20" s="1">
        <v>2.2799999999999998</v>
      </c>
    </row>
    <row r="21" spans="1:5" x14ac:dyDescent="0.2">
      <c r="A21" s="13"/>
      <c r="B21" s="10"/>
      <c r="D21" s="1">
        <v>192160015</v>
      </c>
      <c r="E21" s="1">
        <v>2.7519999999999998</v>
      </c>
    </row>
    <row r="22" spans="1:5" x14ac:dyDescent="0.2">
      <c r="A22" s="13"/>
      <c r="B22" s="10"/>
      <c r="C22" s="10"/>
      <c r="D22" s="1">
        <v>192160073</v>
      </c>
      <c r="E22" s="1">
        <v>2.73</v>
      </c>
    </row>
    <row r="23" spans="1:5" x14ac:dyDescent="0.2">
      <c r="A23" s="13"/>
      <c r="B23" s="10"/>
      <c r="C23" s="10"/>
      <c r="D23" s="1">
        <v>198160045</v>
      </c>
      <c r="E23" s="1">
        <v>2.6819999999999999</v>
      </c>
    </row>
    <row r="24" spans="1:5" x14ac:dyDescent="0.2">
      <c r="A24" s="13"/>
      <c r="B24" s="10"/>
      <c r="C24" s="10"/>
      <c r="D24" s="1">
        <v>201270028</v>
      </c>
      <c r="E24" s="1">
        <v>2.0030000000000001</v>
      </c>
    </row>
    <row r="25" spans="1:5" x14ac:dyDescent="0.2">
      <c r="D25" s="1">
        <v>201270049</v>
      </c>
      <c r="E25" s="1">
        <v>3.02</v>
      </c>
    </row>
    <row r="26" spans="1:5" x14ac:dyDescent="0.2">
      <c r="D26" s="1">
        <v>214090023</v>
      </c>
      <c r="E26" s="1">
        <f>(2.696+2.77)/2</f>
        <v>2.7330000000000001</v>
      </c>
    </row>
    <row r="27" spans="1:5" x14ac:dyDescent="0.2">
      <c r="D27" s="1"/>
      <c r="E27" s="1"/>
    </row>
    <row r="28" spans="1:5" x14ac:dyDescent="0.2">
      <c r="D28" s="1"/>
      <c r="E28" s="1"/>
    </row>
    <row r="29" spans="1:5" x14ac:dyDescent="0.2">
      <c r="D29" s="1"/>
      <c r="E29" s="1"/>
    </row>
    <row r="30" spans="1:5" x14ac:dyDescent="0.2">
      <c r="A30" s="14" t="s">
        <v>0</v>
      </c>
      <c r="B30" s="1">
        <f>COUNT(B4:B29)</f>
        <v>14</v>
      </c>
      <c r="D30" s="14" t="s">
        <v>0</v>
      </c>
      <c r="E30" s="1">
        <f>COUNT(E4:E29)</f>
        <v>23</v>
      </c>
    </row>
    <row r="31" spans="1:5" x14ac:dyDescent="0.2">
      <c r="A31" s="14" t="s">
        <v>1</v>
      </c>
      <c r="B31" s="6">
        <f>AVERAGE(B4:B29)</f>
        <v>1.3532142857142855</v>
      </c>
      <c r="D31" s="14" t="s">
        <v>1</v>
      </c>
      <c r="E31" s="6">
        <f>AVERAGE(E4:E29)</f>
        <v>2.1930869565217392</v>
      </c>
    </row>
    <row r="32" spans="1:5" x14ac:dyDescent="0.2">
      <c r="A32" s="14" t="s">
        <v>2</v>
      </c>
      <c r="B32" s="6">
        <f>STDEV(B4:B29)</f>
        <v>1.0269583302587855</v>
      </c>
      <c r="D32" s="14" t="s">
        <v>2</v>
      </c>
      <c r="E32" s="6">
        <f>STDEV(E4:E29)</f>
        <v>1.0914456598743234</v>
      </c>
    </row>
    <row r="33" spans="1:5" x14ac:dyDescent="0.2">
      <c r="A33" s="14" t="s">
        <v>3</v>
      </c>
      <c r="B33" s="6">
        <f t="shared" ref="B33" si="0">B32/SQRT(B30)</f>
        <v>0.2744661587372727</v>
      </c>
      <c r="D33" s="14" t="s">
        <v>3</v>
      </c>
      <c r="E33" s="6">
        <f t="shared" ref="E33" si="1">E32/SQRT(E30)</f>
        <v>0.22758215224383188</v>
      </c>
    </row>
    <row r="34" spans="1:5" x14ac:dyDescent="0.2">
      <c r="A34" s="18" t="s">
        <v>78</v>
      </c>
      <c r="B34" s="28">
        <v>9</v>
      </c>
      <c r="D34" s="18" t="s">
        <v>78</v>
      </c>
      <c r="E34" s="28">
        <v>17</v>
      </c>
    </row>
    <row r="36" spans="1:5" x14ac:dyDescent="0.2">
      <c r="D36" s="14" t="s">
        <v>80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8461B-9683-4B24-B812-77B4DDFBF747}">
  <dimension ref="A1:E34"/>
  <sheetViews>
    <sheetView workbookViewId="0">
      <selection activeCell="R38" sqref="R38"/>
    </sheetView>
  </sheetViews>
  <sheetFormatPr baseColWidth="10" defaultColWidth="8.83203125" defaultRowHeight="15" x14ac:dyDescent="0.2"/>
  <cols>
    <col min="1" max="1" width="16.1640625" customWidth="1"/>
    <col min="2" max="2" width="13.83203125" style="4" customWidth="1"/>
    <col min="3" max="3" width="9.83203125" customWidth="1"/>
    <col min="4" max="4" width="14.83203125" customWidth="1"/>
    <col min="5" max="5" width="16.5" customWidth="1"/>
  </cols>
  <sheetData>
    <row r="1" spans="1:5" ht="16" x14ac:dyDescent="0.2">
      <c r="A1" s="18" t="s">
        <v>7</v>
      </c>
      <c r="B1" s="18"/>
      <c r="C1" s="18"/>
      <c r="D1" s="18"/>
      <c r="E1" s="18"/>
    </row>
    <row r="2" spans="1:5" ht="16" x14ac:dyDescent="0.2">
      <c r="A2" s="18"/>
      <c r="B2" s="18"/>
      <c r="C2" s="18" t="s">
        <v>69</v>
      </c>
      <c r="D2" s="18"/>
      <c r="E2" s="18"/>
    </row>
    <row r="3" spans="1:5" ht="16" x14ac:dyDescent="0.2">
      <c r="A3" s="28" t="s">
        <v>12</v>
      </c>
      <c r="B3" s="17" t="s">
        <v>10</v>
      </c>
      <c r="C3" s="17"/>
      <c r="D3" s="17" t="s">
        <v>12</v>
      </c>
      <c r="E3" s="22" t="s">
        <v>56</v>
      </c>
    </row>
    <row r="4" spans="1:5" x14ac:dyDescent="0.2">
      <c r="A4" s="7">
        <v>132150043</v>
      </c>
      <c r="B4" s="1">
        <v>7.4459999999999997</v>
      </c>
      <c r="D4" s="1" t="s">
        <v>64</v>
      </c>
      <c r="E4" s="1">
        <v>7.9569999999999999</v>
      </c>
    </row>
    <row r="5" spans="1:5" x14ac:dyDescent="0.2">
      <c r="A5" s="7">
        <v>133130008</v>
      </c>
      <c r="B5" s="1">
        <v>5.4930000000000003</v>
      </c>
      <c r="D5" s="1" t="s">
        <v>65</v>
      </c>
      <c r="E5" s="1">
        <v>3.7610000000000001</v>
      </c>
    </row>
    <row r="6" spans="1:5" x14ac:dyDescent="0.2">
      <c r="A6" s="7">
        <v>134100010</v>
      </c>
      <c r="B6" s="1">
        <v>10.167</v>
      </c>
      <c r="D6" s="1" t="s">
        <v>66</v>
      </c>
      <c r="E6" s="1">
        <v>26.48</v>
      </c>
    </row>
    <row r="7" spans="1:5" x14ac:dyDescent="0.2">
      <c r="A7" s="7">
        <v>134100025</v>
      </c>
      <c r="B7" s="1">
        <v>11.193</v>
      </c>
      <c r="D7" s="1">
        <v>132120011</v>
      </c>
      <c r="E7" s="1">
        <v>21.553000000000001</v>
      </c>
    </row>
    <row r="8" spans="1:5" x14ac:dyDescent="0.2">
      <c r="A8" s="7">
        <v>191280008</v>
      </c>
      <c r="B8" s="1">
        <v>8.9410000000000007</v>
      </c>
      <c r="D8" s="1">
        <v>132120023</v>
      </c>
      <c r="E8" s="1">
        <f>(17.441+19.95)/2</f>
        <v>18.695499999999999</v>
      </c>
    </row>
    <row r="9" spans="1:5" x14ac:dyDescent="0.2">
      <c r="A9" s="7">
        <v>191290035</v>
      </c>
      <c r="B9" s="1">
        <v>10.680999999999999</v>
      </c>
      <c r="D9" s="1">
        <v>133150048</v>
      </c>
      <c r="E9" s="1">
        <v>10.612</v>
      </c>
    </row>
    <row r="10" spans="1:5" x14ac:dyDescent="0.2">
      <c r="A10" s="7">
        <v>191290047</v>
      </c>
      <c r="B10" s="1">
        <v>21.048999999999999</v>
      </c>
      <c r="D10" s="1">
        <v>133270008</v>
      </c>
      <c r="E10" s="1">
        <v>13.618</v>
      </c>
    </row>
    <row r="11" spans="1:5" x14ac:dyDescent="0.2">
      <c r="A11" s="7">
        <v>191290069</v>
      </c>
      <c r="B11" s="1">
        <v>14.723000000000001</v>
      </c>
      <c r="D11" s="1">
        <v>133270043</v>
      </c>
      <c r="E11" s="1">
        <v>21.181000000000001</v>
      </c>
    </row>
    <row r="12" spans="1:5" x14ac:dyDescent="0.2">
      <c r="A12" s="7">
        <v>198130045</v>
      </c>
      <c r="B12" s="1">
        <v>10.282</v>
      </c>
      <c r="D12" s="1">
        <v>135030028</v>
      </c>
      <c r="E12" s="1">
        <v>7.7370000000000001</v>
      </c>
    </row>
    <row r="13" spans="1:5" x14ac:dyDescent="0.2">
      <c r="A13" s="7">
        <v>198130056</v>
      </c>
      <c r="B13" s="1">
        <v>6.7590000000000003</v>
      </c>
      <c r="D13" s="1">
        <v>135030040</v>
      </c>
      <c r="E13" s="1">
        <v>9.5079999999999991</v>
      </c>
    </row>
    <row r="14" spans="1:5" x14ac:dyDescent="0.2">
      <c r="A14" s="7">
        <v>198130080</v>
      </c>
      <c r="B14" s="1">
        <v>6.9</v>
      </c>
      <c r="D14" s="1">
        <v>146210035</v>
      </c>
      <c r="E14" s="1">
        <v>12.752000000000001</v>
      </c>
    </row>
    <row r="15" spans="1:5" x14ac:dyDescent="0.2">
      <c r="A15" s="7">
        <v>198130088</v>
      </c>
      <c r="B15" s="1">
        <v>8.8979999999999997</v>
      </c>
      <c r="D15" s="1">
        <v>146230015</v>
      </c>
      <c r="E15" s="1">
        <v>8.6890000000000001</v>
      </c>
    </row>
    <row r="16" spans="1:5" x14ac:dyDescent="0.2">
      <c r="A16" s="7" t="s">
        <v>62</v>
      </c>
      <c r="B16" s="1">
        <v>9.7880000000000003</v>
      </c>
      <c r="D16" s="1">
        <v>146280022</v>
      </c>
      <c r="E16" s="1">
        <v>11.066000000000001</v>
      </c>
    </row>
    <row r="17" spans="1:5" x14ac:dyDescent="0.2">
      <c r="A17" s="8" t="s">
        <v>63</v>
      </c>
      <c r="B17" s="1">
        <v>10.362</v>
      </c>
      <c r="D17" s="1" t="s">
        <v>67</v>
      </c>
      <c r="E17" s="1">
        <v>11.093999999999999</v>
      </c>
    </row>
    <row r="18" spans="1:5" x14ac:dyDescent="0.2">
      <c r="A18" s="5"/>
      <c r="B18" s="36"/>
      <c r="D18" s="1" t="s">
        <v>68</v>
      </c>
      <c r="E18" s="1">
        <v>18.146999999999998</v>
      </c>
    </row>
    <row r="19" spans="1:5" x14ac:dyDescent="0.2">
      <c r="A19" s="5"/>
      <c r="B19" s="36"/>
      <c r="D19" s="1">
        <v>171230027</v>
      </c>
      <c r="E19" s="1">
        <v>9.3469999999999995</v>
      </c>
    </row>
    <row r="20" spans="1:5" x14ac:dyDescent="0.2">
      <c r="A20" s="5"/>
      <c r="B20" s="36"/>
      <c r="D20" s="1">
        <v>191120040</v>
      </c>
      <c r="E20" s="1">
        <v>13.124000000000001</v>
      </c>
    </row>
    <row r="21" spans="1:5" x14ac:dyDescent="0.2">
      <c r="A21" s="5"/>
      <c r="B21" s="36"/>
      <c r="D21" s="1">
        <v>192160015</v>
      </c>
      <c r="E21" s="1">
        <v>16.515000000000001</v>
      </c>
    </row>
    <row r="22" spans="1:5" x14ac:dyDescent="0.2">
      <c r="A22" s="5"/>
      <c r="B22" s="36"/>
      <c r="D22" s="1">
        <v>192160073</v>
      </c>
      <c r="E22" s="1">
        <v>11.526</v>
      </c>
    </row>
    <row r="23" spans="1:5" x14ac:dyDescent="0.2">
      <c r="D23" s="1">
        <v>198160045</v>
      </c>
      <c r="E23" s="1">
        <v>7.9020000000000001</v>
      </c>
    </row>
    <row r="24" spans="1:5" x14ac:dyDescent="0.2">
      <c r="D24" s="1">
        <v>201270028</v>
      </c>
      <c r="E24" s="1">
        <v>12.016</v>
      </c>
    </row>
    <row r="25" spans="1:5" x14ac:dyDescent="0.2">
      <c r="D25" s="1">
        <v>201270049</v>
      </c>
      <c r="E25" s="1">
        <v>7.76</v>
      </c>
    </row>
    <row r="26" spans="1:5" x14ac:dyDescent="0.2">
      <c r="D26" s="1">
        <v>214090023</v>
      </c>
      <c r="E26" s="1">
        <f>(14.487+18.952)/2</f>
        <v>16.7195</v>
      </c>
    </row>
    <row r="30" spans="1:5" ht="16" x14ac:dyDescent="0.2">
      <c r="A30" s="14" t="s">
        <v>0</v>
      </c>
      <c r="B30" s="1">
        <f>COUNT(B4:B29)</f>
        <v>14</v>
      </c>
      <c r="C30" s="18"/>
      <c r="D30" s="18"/>
      <c r="E30" s="1">
        <f>COUNT(E4:E29)</f>
        <v>23</v>
      </c>
    </row>
    <row r="31" spans="1:5" ht="16" x14ac:dyDescent="0.2">
      <c r="A31" s="14" t="s">
        <v>1</v>
      </c>
      <c r="B31" s="6">
        <f>AVERAGE(B4:B29)</f>
        <v>10.191571428571427</v>
      </c>
      <c r="C31" s="18"/>
      <c r="D31" s="18"/>
      <c r="E31" s="6">
        <f>AVERAGE(E4:E29)</f>
        <v>12.946086956521739</v>
      </c>
    </row>
    <row r="32" spans="1:5" ht="16" x14ac:dyDescent="0.2">
      <c r="A32" s="14" t="s">
        <v>2</v>
      </c>
      <c r="B32" s="6">
        <f>STDEV(B4:B29)</f>
        <v>3.8762558999887808</v>
      </c>
      <c r="C32" s="18"/>
      <c r="D32" s="18"/>
      <c r="E32" s="6">
        <f>STDEV(E4:E29)</f>
        <v>5.4754923453433024</v>
      </c>
    </row>
    <row r="33" spans="1:5" ht="16" x14ac:dyDescent="0.2">
      <c r="A33" s="14" t="s">
        <v>3</v>
      </c>
      <c r="B33" s="6">
        <f t="shared" ref="B33" si="0">B32/SQRT(B30)</f>
        <v>1.0359729658013639</v>
      </c>
      <c r="C33" s="18"/>
      <c r="D33" s="18"/>
      <c r="E33" s="6">
        <f t="shared" ref="E33" si="1">E32/SQRT(E30)</f>
        <v>1.1417190780632569</v>
      </c>
    </row>
    <row r="34" spans="1:5" ht="16" x14ac:dyDescent="0.2">
      <c r="A34" s="18" t="s">
        <v>78</v>
      </c>
      <c r="B34" s="28">
        <v>9</v>
      </c>
      <c r="C34" s="18"/>
      <c r="D34" s="18" t="s">
        <v>78</v>
      </c>
      <c r="E34" s="28">
        <v>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45F4-EE2B-4FBB-B0B7-F30C025126AF}">
  <dimension ref="A1:Q121"/>
  <sheetViews>
    <sheetView topLeftCell="A91" workbookViewId="0">
      <selection activeCell="P127" sqref="P127"/>
    </sheetView>
  </sheetViews>
  <sheetFormatPr baseColWidth="10" defaultColWidth="8.83203125" defaultRowHeight="15" x14ac:dyDescent="0.2"/>
  <cols>
    <col min="1" max="1" width="22.33203125" style="8" customWidth="1"/>
    <col min="2" max="3" width="8.83203125" style="8"/>
    <col min="4" max="4" width="12.33203125" style="8" customWidth="1"/>
    <col min="5" max="5" width="14.33203125" style="8" customWidth="1"/>
    <col min="6" max="6" width="15" style="8" customWidth="1"/>
    <col min="7" max="7" width="8.83203125" style="8"/>
    <col min="8" max="8" width="16.33203125" style="8" customWidth="1"/>
    <col min="9" max="9" width="17.6640625" style="8" customWidth="1"/>
    <col min="10" max="10" width="9.33203125" style="8" customWidth="1"/>
    <col min="11" max="11" width="8.83203125" style="8"/>
    <col min="12" max="12" width="12.5" style="8" customWidth="1"/>
    <col min="13" max="13" width="14.5" style="8" customWidth="1"/>
    <col min="14" max="14" width="17.83203125" style="8" customWidth="1"/>
    <col min="15" max="17" width="8.83203125" style="8"/>
  </cols>
  <sheetData>
    <row r="1" spans="1:15" x14ac:dyDescent="0.2">
      <c r="A1" s="8" t="s">
        <v>219</v>
      </c>
    </row>
    <row r="4" spans="1:15" x14ac:dyDescent="0.2">
      <c r="D4" s="1" t="s">
        <v>10</v>
      </c>
    </row>
    <row r="5" spans="1:15" x14ac:dyDescent="0.2">
      <c r="D5" s="1" t="s">
        <v>223</v>
      </c>
      <c r="L5" s="1" t="s">
        <v>223</v>
      </c>
    </row>
    <row r="6" spans="1:15" x14ac:dyDescent="0.2">
      <c r="A6" s="7" t="s">
        <v>12</v>
      </c>
      <c r="B6" s="1" t="s">
        <v>210</v>
      </c>
      <c r="C6" s="1" t="s">
        <v>211</v>
      </c>
      <c r="D6" s="1" t="s">
        <v>212</v>
      </c>
      <c r="E6" s="1" t="s">
        <v>213</v>
      </c>
      <c r="F6" s="1" t="s">
        <v>214</v>
      </c>
      <c r="G6" s="1" t="s">
        <v>215</v>
      </c>
      <c r="I6" s="7" t="s">
        <v>12</v>
      </c>
      <c r="J6" s="1" t="s">
        <v>210</v>
      </c>
      <c r="K6" s="1" t="s">
        <v>211</v>
      </c>
      <c r="L6" s="1" t="s">
        <v>212</v>
      </c>
      <c r="M6" s="1" t="s">
        <v>213</v>
      </c>
      <c r="N6" s="1" t="s">
        <v>214</v>
      </c>
      <c r="O6" s="1" t="s">
        <v>215</v>
      </c>
    </row>
    <row r="7" spans="1:15" x14ac:dyDescent="0.2">
      <c r="A7" s="7">
        <v>146060040</v>
      </c>
      <c r="B7" s="1" t="s">
        <v>216</v>
      </c>
      <c r="C7" s="1">
        <v>40</v>
      </c>
      <c r="D7" s="35">
        <v>-26.2</v>
      </c>
      <c r="E7" s="35">
        <v>-24.2</v>
      </c>
      <c r="F7" s="35">
        <f t="shared" ref="F7:F14" si="0">E7/D7</f>
        <v>0.92366412213740456</v>
      </c>
      <c r="G7" s="1" t="s">
        <v>217</v>
      </c>
      <c r="I7" s="7">
        <v>146060007</v>
      </c>
      <c r="J7" s="1" t="s">
        <v>216</v>
      </c>
      <c r="K7" s="1">
        <v>40</v>
      </c>
      <c r="L7" s="35">
        <v>-129.9</v>
      </c>
      <c r="M7" s="35">
        <v>-105</v>
      </c>
      <c r="N7" s="35">
        <f t="shared" ref="N7:N24" si="1">M7/L7</f>
        <v>0.80831408775981517</v>
      </c>
      <c r="O7" s="1" t="s">
        <v>217</v>
      </c>
    </row>
    <row r="8" spans="1:15" x14ac:dyDescent="0.2">
      <c r="A8" s="7">
        <v>146060058</v>
      </c>
      <c r="B8" s="1" t="s">
        <v>216</v>
      </c>
      <c r="C8" s="1">
        <v>40</v>
      </c>
      <c r="D8" s="35">
        <v>-26.2</v>
      </c>
      <c r="E8" s="35">
        <v>-24.2</v>
      </c>
      <c r="F8" s="35">
        <f t="shared" si="0"/>
        <v>0.92366412213740456</v>
      </c>
      <c r="G8" s="1" t="s">
        <v>217</v>
      </c>
      <c r="I8" s="7">
        <v>146060018</v>
      </c>
      <c r="J8" s="1" t="s">
        <v>216</v>
      </c>
      <c r="K8" s="1">
        <v>40</v>
      </c>
      <c r="L8" s="35">
        <v>-100</v>
      </c>
      <c r="M8" s="35">
        <v>-124.6</v>
      </c>
      <c r="N8" s="35">
        <f t="shared" si="1"/>
        <v>1.246</v>
      </c>
      <c r="O8" s="1" t="s">
        <v>218</v>
      </c>
    </row>
    <row r="9" spans="1:15" x14ac:dyDescent="0.2">
      <c r="A9" s="7">
        <v>251270014</v>
      </c>
      <c r="B9" s="1" t="s">
        <v>216</v>
      </c>
      <c r="C9" s="1">
        <v>40</v>
      </c>
      <c r="D9" s="35">
        <v>-1054.3</v>
      </c>
      <c r="E9" s="35">
        <v>-707.1</v>
      </c>
      <c r="F9" s="35">
        <f t="shared" si="0"/>
        <v>0.67068196907900979</v>
      </c>
      <c r="G9" s="1" t="s">
        <v>217</v>
      </c>
      <c r="I9" s="7">
        <v>146210018</v>
      </c>
      <c r="J9" s="1" t="s">
        <v>216</v>
      </c>
      <c r="K9" s="1">
        <v>40</v>
      </c>
      <c r="L9" s="35">
        <v>-475.5</v>
      </c>
      <c r="M9" s="35">
        <v>-202.7</v>
      </c>
      <c r="N9" s="35">
        <f t="shared" si="1"/>
        <v>0.42628811777076758</v>
      </c>
      <c r="O9" s="1" t="s">
        <v>217</v>
      </c>
    </row>
    <row r="10" spans="1:15" x14ac:dyDescent="0.2">
      <c r="A10" s="5">
        <v>251270039</v>
      </c>
      <c r="B10" s="2" t="s">
        <v>216</v>
      </c>
      <c r="C10" s="2">
        <v>40</v>
      </c>
      <c r="D10" s="68">
        <v>-13.6</v>
      </c>
      <c r="E10" s="68">
        <v>-16.399999999999999</v>
      </c>
      <c r="F10" s="68">
        <f t="shared" si="0"/>
        <v>1.2058823529411764</v>
      </c>
      <c r="G10" s="2" t="s">
        <v>218</v>
      </c>
      <c r="I10" s="7">
        <v>146210044</v>
      </c>
      <c r="J10" s="1" t="s">
        <v>216</v>
      </c>
      <c r="K10" s="1">
        <v>40</v>
      </c>
      <c r="L10" s="35">
        <v>-234.4</v>
      </c>
      <c r="M10" s="35">
        <v>-126.6</v>
      </c>
      <c r="N10" s="35">
        <f t="shared" si="1"/>
        <v>0.54010238907849828</v>
      </c>
      <c r="O10" s="1" t="s">
        <v>217</v>
      </c>
    </row>
    <row r="11" spans="1:15" x14ac:dyDescent="0.2">
      <c r="A11" s="7">
        <v>251270055</v>
      </c>
      <c r="B11" s="1" t="s">
        <v>216</v>
      </c>
      <c r="C11" s="1">
        <v>40</v>
      </c>
      <c r="D11" s="35">
        <f>-(265.7+213.2)/2</f>
        <v>-239.45</v>
      </c>
      <c r="E11" s="35">
        <f>-(261.7+207.9)/2</f>
        <v>-234.8</v>
      </c>
      <c r="F11" s="35">
        <f t="shared" si="0"/>
        <v>0.98058049697222815</v>
      </c>
      <c r="G11" s="1" t="s">
        <v>217</v>
      </c>
      <c r="I11" s="7" t="s">
        <v>231</v>
      </c>
      <c r="J11" s="1" t="s">
        <v>216</v>
      </c>
      <c r="K11" s="1">
        <v>40</v>
      </c>
      <c r="L11" s="35">
        <v>-190</v>
      </c>
      <c r="M11" s="35">
        <v>-229.7</v>
      </c>
      <c r="N11" s="35">
        <f t="shared" si="1"/>
        <v>1.2089473684210525</v>
      </c>
      <c r="O11" s="1" t="s">
        <v>218</v>
      </c>
    </row>
    <row r="12" spans="1:15" x14ac:dyDescent="0.2">
      <c r="A12" s="7">
        <v>252120043</v>
      </c>
      <c r="B12" s="1" t="s">
        <v>216</v>
      </c>
      <c r="C12" s="1">
        <v>40</v>
      </c>
      <c r="D12" s="35">
        <v>-1466.8</v>
      </c>
      <c r="E12" s="35">
        <v>-821.1</v>
      </c>
      <c r="F12" s="35">
        <f t="shared" si="0"/>
        <v>0.5597900190891737</v>
      </c>
      <c r="G12" s="1" t="s">
        <v>217</v>
      </c>
      <c r="I12" s="7" t="s">
        <v>232</v>
      </c>
      <c r="J12" s="1" t="s">
        <v>216</v>
      </c>
      <c r="K12" s="1">
        <v>40</v>
      </c>
      <c r="L12" s="35">
        <v>-56.1</v>
      </c>
      <c r="M12" s="35">
        <v>-58.6</v>
      </c>
      <c r="N12" s="35">
        <f t="shared" si="1"/>
        <v>1.0445632798573976</v>
      </c>
      <c r="O12" s="1" t="s">
        <v>218</v>
      </c>
    </row>
    <row r="13" spans="1:15" x14ac:dyDescent="0.2">
      <c r="A13" s="7" t="s">
        <v>208</v>
      </c>
      <c r="B13" s="1" t="s">
        <v>216</v>
      </c>
      <c r="C13" s="1">
        <v>40</v>
      </c>
      <c r="D13" s="35">
        <f>-(54.9+10.4)/2</f>
        <v>-32.65</v>
      </c>
      <c r="E13" s="35">
        <f>-(166.8+31.4)/2</f>
        <v>-99.100000000000009</v>
      </c>
      <c r="F13" s="35">
        <f t="shared" si="0"/>
        <v>3.0352220520673816</v>
      </c>
      <c r="G13" s="1" t="s">
        <v>218</v>
      </c>
      <c r="I13" s="5">
        <v>251090013</v>
      </c>
      <c r="J13" s="2" t="s">
        <v>216</v>
      </c>
      <c r="K13" s="2">
        <v>40</v>
      </c>
      <c r="L13" s="68">
        <v>759.7</v>
      </c>
      <c r="M13" s="68">
        <v>775.1</v>
      </c>
      <c r="N13" s="68">
        <f t="shared" si="1"/>
        <v>1.0202711596682901</v>
      </c>
      <c r="O13" s="2" t="s">
        <v>218</v>
      </c>
    </row>
    <row r="14" spans="1:15" x14ac:dyDescent="0.2">
      <c r="A14" s="7" t="s">
        <v>209</v>
      </c>
      <c r="B14" s="1" t="s">
        <v>216</v>
      </c>
      <c r="C14" s="1">
        <v>40</v>
      </c>
      <c r="D14" s="35">
        <f>-(204.3+189.5+190.6)/3</f>
        <v>-194.79999999999998</v>
      </c>
      <c r="E14" s="35">
        <f>-(246+180.8+226)/3</f>
        <v>-217.6</v>
      </c>
      <c r="F14" s="35">
        <f t="shared" si="0"/>
        <v>1.1170431211498975</v>
      </c>
      <c r="G14" s="1" t="s">
        <v>218</v>
      </c>
      <c r="I14" s="7">
        <v>251090029</v>
      </c>
      <c r="J14" s="1" t="s">
        <v>216</v>
      </c>
      <c r="K14" s="1">
        <v>40</v>
      </c>
      <c r="L14" s="35">
        <v>-62.2</v>
      </c>
      <c r="M14" s="35">
        <v>-84.3</v>
      </c>
      <c r="N14" s="35">
        <f t="shared" si="1"/>
        <v>1.355305466237942</v>
      </c>
      <c r="O14" s="1" t="s">
        <v>218</v>
      </c>
    </row>
    <row r="15" spans="1:15" x14ac:dyDescent="0.2">
      <c r="A15" s="7"/>
      <c r="B15" s="1"/>
      <c r="C15" s="1"/>
      <c r="D15" s="35"/>
      <c r="E15" s="35"/>
      <c r="F15" s="35"/>
      <c r="G15" s="1"/>
      <c r="I15" s="7">
        <v>251100006</v>
      </c>
      <c r="J15" s="1" t="s">
        <v>216</v>
      </c>
      <c r="K15" s="1">
        <v>40</v>
      </c>
      <c r="L15" s="35">
        <v>-569.29999999999995</v>
      </c>
      <c r="M15" s="35">
        <v>-551.5</v>
      </c>
      <c r="N15" s="35">
        <f t="shared" si="1"/>
        <v>0.96873353240822069</v>
      </c>
      <c r="O15" s="1" t="s">
        <v>217</v>
      </c>
    </row>
    <row r="16" spans="1:15" x14ac:dyDescent="0.2">
      <c r="A16" s="7"/>
      <c r="B16" s="1"/>
      <c r="C16" s="1"/>
      <c r="D16" s="35"/>
      <c r="E16" s="35"/>
      <c r="F16" s="35"/>
      <c r="G16" s="1"/>
      <c r="I16" s="7">
        <v>251160022</v>
      </c>
      <c r="J16" s="1" t="s">
        <v>216</v>
      </c>
      <c r="K16" s="1">
        <v>40</v>
      </c>
      <c r="L16" s="35">
        <v>-67</v>
      </c>
      <c r="M16" s="35">
        <v>-70.400000000000006</v>
      </c>
      <c r="N16" s="35">
        <f t="shared" si="1"/>
        <v>1.0507462686567166</v>
      </c>
      <c r="O16" s="1" t="s">
        <v>218</v>
      </c>
    </row>
    <row r="17" spans="1:16" x14ac:dyDescent="0.2">
      <c r="A17" s="7"/>
      <c r="B17" s="1"/>
      <c r="C17" s="1"/>
      <c r="D17" s="35"/>
      <c r="E17" s="35"/>
      <c r="F17" s="35"/>
      <c r="G17" s="1"/>
      <c r="I17" s="7">
        <v>251160038</v>
      </c>
      <c r="J17" s="1" t="s">
        <v>216</v>
      </c>
      <c r="K17" s="1">
        <v>40</v>
      </c>
      <c r="L17" s="35">
        <v>-42</v>
      </c>
      <c r="M17" s="35">
        <v>-43</v>
      </c>
      <c r="N17" s="35">
        <f t="shared" si="1"/>
        <v>1.0238095238095237</v>
      </c>
      <c r="O17" s="1" t="s">
        <v>218</v>
      </c>
    </row>
    <row r="18" spans="1:16" x14ac:dyDescent="0.2">
      <c r="A18" s="7"/>
      <c r="B18" s="1"/>
      <c r="C18" s="1"/>
      <c r="D18" s="35"/>
      <c r="E18" s="35"/>
      <c r="F18" s="35"/>
      <c r="G18" s="1"/>
      <c r="I18" s="7" t="s">
        <v>233</v>
      </c>
      <c r="J18" s="1" t="s">
        <v>216</v>
      </c>
      <c r="K18" s="1">
        <v>40</v>
      </c>
      <c r="L18" s="35">
        <v>-59.7</v>
      </c>
      <c r="M18" s="35">
        <v>-123</v>
      </c>
      <c r="N18" s="35">
        <f t="shared" si="1"/>
        <v>2.0603015075376883</v>
      </c>
      <c r="O18" s="1" t="s">
        <v>218</v>
      </c>
    </row>
    <row r="19" spans="1:16" x14ac:dyDescent="0.2">
      <c r="A19" s="7"/>
      <c r="B19" s="1"/>
      <c r="C19" s="1"/>
      <c r="D19" s="35"/>
      <c r="E19" s="35"/>
      <c r="F19" s="35"/>
      <c r="G19" s="1"/>
      <c r="I19" s="5">
        <v>253190004</v>
      </c>
      <c r="J19" s="2" t="s">
        <v>216</v>
      </c>
      <c r="K19" s="2">
        <v>40</v>
      </c>
      <c r="L19" s="68">
        <v>11.9</v>
      </c>
      <c r="M19" s="68">
        <v>24.2</v>
      </c>
      <c r="N19" s="68">
        <f t="shared" si="1"/>
        <v>2.0336134453781511</v>
      </c>
      <c r="O19" s="2" t="s">
        <v>218</v>
      </c>
    </row>
    <row r="20" spans="1:16" x14ac:dyDescent="0.2">
      <c r="A20" s="7"/>
      <c r="B20" s="1"/>
      <c r="C20" s="1"/>
      <c r="D20" s="35"/>
      <c r="E20" s="35"/>
      <c r="F20" s="35"/>
      <c r="G20" s="1"/>
      <c r="I20" s="7" t="s">
        <v>234</v>
      </c>
      <c r="J20" s="1" t="s">
        <v>216</v>
      </c>
      <c r="K20" s="1">
        <v>40</v>
      </c>
      <c r="L20" s="35">
        <f>-(54.3+85.4)/2</f>
        <v>-69.849999999999994</v>
      </c>
      <c r="M20" s="35">
        <f>-(64.8+103.9)/2</f>
        <v>-84.35</v>
      </c>
      <c r="N20" s="35">
        <f t="shared" si="1"/>
        <v>1.2075876879026486</v>
      </c>
      <c r="O20" s="1" t="s">
        <v>218</v>
      </c>
    </row>
    <row r="21" spans="1:16" x14ac:dyDescent="0.2">
      <c r="A21" s="7"/>
      <c r="B21" s="1"/>
      <c r="C21" s="1"/>
      <c r="D21" s="35"/>
      <c r="E21" s="35"/>
      <c r="F21" s="35"/>
      <c r="G21" s="1"/>
      <c r="I21" s="5" t="s">
        <v>234</v>
      </c>
      <c r="J21" s="2" t="s">
        <v>216</v>
      </c>
      <c r="K21" s="2">
        <v>40</v>
      </c>
      <c r="L21" s="2">
        <v>-9460.64</v>
      </c>
      <c r="M21" s="2">
        <v>-23687.4</v>
      </c>
      <c r="N21" s="68">
        <f t="shared" si="1"/>
        <v>2.5037840991729952</v>
      </c>
      <c r="O21" s="2" t="s">
        <v>218</v>
      </c>
    </row>
    <row r="22" spans="1:16" x14ac:dyDescent="0.2">
      <c r="A22" s="7"/>
      <c r="B22" s="1"/>
      <c r="C22" s="1"/>
      <c r="D22" s="35"/>
      <c r="E22" s="35"/>
      <c r="F22" s="35"/>
      <c r="G22" s="1"/>
      <c r="I22" s="7" t="s">
        <v>235</v>
      </c>
      <c r="J22" s="1" t="s">
        <v>216</v>
      </c>
      <c r="K22" s="1">
        <v>40</v>
      </c>
      <c r="L22" s="1">
        <f>-(16.7+123.1+70.7+27.8)/4</f>
        <v>-59.575000000000003</v>
      </c>
      <c r="M22" s="1">
        <f>-(48.4+197.7+125.2+48.6)/4</f>
        <v>-104.97500000000001</v>
      </c>
      <c r="N22" s="68">
        <f t="shared" si="1"/>
        <v>1.7620646244229963</v>
      </c>
      <c r="O22" s="2" t="s">
        <v>218</v>
      </c>
    </row>
    <row r="23" spans="1:16" x14ac:dyDescent="0.2">
      <c r="A23" s="7"/>
      <c r="B23" s="1"/>
      <c r="C23" s="1"/>
      <c r="D23" s="35"/>
      <c r="E23" s="35"/>
      <c r="F23" s="35"/>
      <c r="G23" s="1"/>
      <c r="I23" s="7" t="s">
        <v>236</v>
      </c>
      <c r="J23" s="1" t="s">
        <v>216</v>
      </c>
      <c r="K23" s="1">
        <v>40</v>
      </c>
      <c r="L23" s="1">
        <f>-(97.4+125.3)/2</f>
        <v>-111.35</v>
      </c>
      <c r="M23" s="1">
        <f>-(128+187.7)</f>
        <v>-315.7</v>
      </c>
      <c r="N23" s="68">
        <f t="shared" si="1"/>
        <v>2.8352043107319265</v>
      </c>
      <c r="O23" s="2" t="s">
        <v>218</v>
      </c>
    </row>
    <row r="24" spans="1:16" x14ac:dyDescent="0.2">
      <c r="A24" s="7"/>
      <c r="B24" s="1"/>
      <c r="C24" s="1"/>
      <c r="D24" s="35"/>
      <c r="E24" s="35"/>
      <c r="F24" s="35"/>
      <c r="G24" s="1"/>
      <c r="I24" s="7" t="s">
        <v>237</v>
      </c>
      <c r="J24" s="1" t="s">
        <v>216</v>
      </c>
      <c r="K24" s="1">
        <v>40</v>
      </c>
      <c r="L24" s="1">
        <f>-(106.3+134.6)/2</f>
        <v>-120.44999999999999</v>
      </c>
      <c r="M24" s="1">
        <f>-(145.6+179.2)/2</f>
        <v>-162.39999999999998</v>
      </c>
      <c r="N24" s="68">
        <f t="shared" si="1"/>
        <v>1.3482772934827729</v>
      </c>
      <c r="O24" s="2" t="s">
        <v>218</v>
      </c>
    </row>
    <row r="25" spans="1:16" x14ac:dyDescent="0.2">
      <c r="A25" s="7"/>
      <c r="B25" s="1"/>
      <c r="C25" s="1"/>
      <c r="D25" s="35"/>
      <c r="E25" s="35"/>
      <c r="F25" s="35"/>
      <c r="G25" s="1"/>
    </row>
    <row r="26" spans="1:16" x14ac:dyDescent="0.2">
      <c r="A26" s="7" t="s">
        <v>0</v>
      </c>
      <c r="B26" s="1" t="s">
        <v>263</v>
      </c>
      <c r="C26" s="1"/>
      <c r="D26" s="1">
        <f>COUNT(D7:D24)</f>
        <v>8</v>
      </c>
      <c r="E26" s="1">
        <f t="shared" ref="E26:F26" si="2">COUNT(E7:E24)</f>
        <v>8</v>
      </c>
      <c r="F26" s="1">
        <f t="shared" si="2"/>
        <v>8</v>
      </c>
      <c r="G26" s="1"/>
      <c r="P26" s="1"/>
    </row>
    <row r="27" spans="1:16" x14ac:dyDescent="0.2">
      <c r="A27" s="7" t="s">
        <v>1</v>
      </c>
      <c r="B27" s="1"/>
      <c r="C27" s="1"/>
      <c r="D27" s="35">
        <f>AVERAGE(D7:D24)</f>
        <v>-381.75000000000006</v>
      </c>
      <c r="E27" s="35">
        <f t="shared" ref="E27:F27" si="3">AVERAGE(E7:E24)</f>
        <v>-268.0625</v>
      </c>
      <c r="F27" s="35">
        <f t="shared" si="3"/>
        <v>1.1770660319467097</v>
      </c>
      <c r="G27" s="1"/>
      <c r="I27" s="7" t="s">
        <v>0</v>
      </c>
      <c r="J27" s="1" t="s">
        <v>264</v>
      </c>
      <c r="K27" s="1"/>
      <c r="L27" s="1">
        <f>COUNT(L7:L25)</f>
        <v>18</v>
      </c>
      <c r="M27" s="1">
        <f>COUNT(M7:M25)</f>
        <v>18</v>
      </c>
      <c r="N27" s="1">
        <f>COUNT(N7:N25)</f>
        <v>18</v>
      </c>
      <c r="O27" s="1" t="s">
        <v>215</v>
      </c>
      <c r="P27" s="35"/>
    </row>
    <row r="28" spans="1:16" x14ac:dyDescent="0.2">
      <c r="A28" s="7" t="s">
        <v>2</v>
      </c>
      <c r="B28" s="1"/>
      <c r="C28" s="1"/>
      <c r="D28" s="35">
        <f>STDEV(D7:D24)</f>
        <v>559.98640736054597</v>
      </c>
      <c r="E28" s="35">
        <f t="shared" ref="E28:F28" si="4">STDEV(E7:E24)</f>
        <v>319.16798952231147</v>
      </c>
      <c r="F28" s="35">
        <f t="shared" si="4"/>
        <v>0.78026213925712906</v>
      </c>
      <c r="G28" s="1"/>
      <c r="I28" s="7" t="s">
        <v>1</v>
      </c>
      <c r="J28" s="1"/>
      <c r="K28" s="1"/>
      <c r="L28" s="35">
        <f>AVERAGE(L7:L25)</f>
        <v>-613.13138888888898</v>
      </c>
      <c r="M28" s="35">
        <f>AVERAGE(M7:M25)</f>
        <v>-1404.1625000000001</v>
      </c>
      <c r="N28" s="35">
        <f>AVERAGE(N7:N25)</f>
        <v>1.3579952312387451</v>
      </c>
      <c r="O28" s="35" t="s">
        <v>218</v>
      </c>
      <c r="P28" s="35"/>
    </row>
    <row r="29" spans="1:16" x14ac:dyDescent="0.2">
      <c r="A29" s="7" t="s">
        <v>3</v>
      </c>
      <c r="B29" s="1"/>
      <c r="C29" s="1"/>
      <c r="D29" s="35">
        <f>D28/SQRT(D26)</f>
        <v>197.9850930084672</v>
      </c>
      <c r="E29" s="35">
        <f t="shared" ref="E29:F29" si="5">E28/SQRT(E26)</f>
        <v>112.84292486445169</v>
      </c>
      <c r="F29" s="35">
        <f t="shared" si="5"/>
        <v>0.27586432488591911</v>
      </c>
      <c r="G29" s="1"/>
      <c r="I29" s="7" t="s">
        <v>2</v>
      </c>
      <c r="J29" s="1"/>
      <c r="K29" s="1"/>
      <c r="L29" s="35">
        <f>STDEV(L7:L25)</f>
        <v>2223.3327075915754</v>
      </c>
      <c r="M29" s="35">
        <f>STDEV(M7:M25)</f>
        <v>5566.8208871206816</v>
      </c>
      <c r="N29" s="35">
        <f>STDEV(N7:N25)</f>
        <v>0.64509494378029908</v>
      </c>
      <c r="O29" s="35"/>
      <c r="P29" s="35"/>
    </row>
    <row r="30" spans="1:16" s="8" customFormat="1" ht="14" x14ac:dyDescent="0.15">
      <c r="A30" s="7" t="s">
        <v>254</v>
      </c>
      <c r="I30" s="7" t="s">
        <v>3</v>
      </c>
      <c r="J30" s="1"/>
      <c r="K30" s="1"/>
      <c r="L30" s="35">
        <f>L29/SQRT(L27)</f>
        <v>524.04454479061678</v>
      </c>
      <c r="M30" s="35">
        <f>M29/SQRT(M27)</f>
        <v>1312.1122663113156</v>
      </c>
      <c r="N30" s="35">
        <f>N29/SQRT(N27)</f>
        <v>0.15205033641873472</v>
      </c>
      <c r="O30" s="35"/>
    </row>
    <row r="31" spans="1:16" x14ac:dyDescent="0.2">
      <c r="I31" s="7" t="s">
        <v>254</v>
      </c>
      <c r="O31" s="8">
        <f>14/18*100</f>
        <v>77.777777777777786</v>
      </c>
    </row>
    <row r="32" spans="1:16" x14ac:dyDescent="0.2">
      <c r="I32" s="7"/>
      <c r="J32" s="8" t="s">
        <v>270</v>
      </c>
    </row>
    <row r="34" spans="1:15" x14ac:dyDescent="0.2">
      <c r="D34" s="1" t="s">
        <v>224</v>
      </c>
      <c r="L34" s="1" t="s">
        <v>224</v>
      </c>
    </row>
    <row r="35" spans="1:15" x14ac:dyDescent="0.2">
      <c r="A35" s="7" t="s">
        <v>12</v>
      </c>
      <c r="B35" s="1" t="s">
        <v>210</v>
      </c>
      <c r="C35" s="1" t="s">
        <v>211</v>
      </c>
      <c r="D35" s="1" t="s">
        <v>212</v>
      </c>
      <c r="E35" s="1" t="s">
        <v>213</v>
      </c>
      <c r="F35" s="1" t="s">
        <v>214</v>
      </c>
      <c r="G35" s="1" t="s">
        <v>215</v>
      </c>
      <c r="I35" s="7" t="s">
        <v>12</v>
      </c>
      <c r="J35" s="1" t="s">
        <v>210</v>
      </c>
      <c r="K35" s="1" t="s">
        <v>211</v>
      </c>
      <c r="L35" s="1" t="s">
        <v>212</v>
      </c>
      <c r="M35" s="1" t="s">
        <v>213</v>
      </c>
      <c r="N35" s="1" t="s">
        <v>214</v>
      </c>
      <c r="O35" s="1" t="s">
        <v>215</v>
      </c>
    </row>
    <row r="36" spans="1:15" x14ac:dyDescent="0.2">
      <c r="A36" s="7">
        <v>146060039</v>
      </c>
      <c r="B36" s="1" t="s">
        <v>216</v>
      </c>
      <c r="C36" s="1">
        <v>60</v>
      </c>
      <c r="D36" s="35">
        <v>-46.7</v>
      </c>
      <c r="E36" s="35">
        <v>-42</v>
      </c>
      <c r="F36" s="35">
        <f t="shared" ref="F36:F43" si="6">E36/D36</f>
        <v>0.899357601713062</v>
      </c>
      <c r="G36" s="1" t="s">
        <v>217</v>
      </c>
      <c r="I36" s="7">
        <v>146060006</v>
      </c>
      <c r="J36" s="1" t="s">
        <v>216</v>
      </c>
      <c r="K36" s="1">
        <v>60</v>
      </c>
      <c r="L36" s="35">
        <v>-159.1</v>
      </c>
      <c r="M36" s="35">
        <v>-90.8</v>
      </c>
      <c r="N36" s="35">
        <f t="shared" ref="N36:N54" si="7">M36/L36</f>
        <v>0.57071024512884982</v>
      </c>
      <c r="O36" s="1" t="s">
        <v>217</v>
      </c>
    </row>
    <row r="37" spans="1:15" x14ac:dyDescent="0.2">
      <c r="A37" s="7">
        <v>146060057</v>
      </c>
      <c r="B37" s="1" t="s">
        <v>216</v>
      </c>
      <c r="C37" s="1">
        <v>60</v>
      </c>
      <c r="D37" s="35">
        <v>-46.7</v>
      </c>
      <c r="E37" s="35">
        <v>-42</v>
      </c>
      <c r="F37" s="35">
        <f t="shared" si="6"/>
        <v>0.899357601713062</v>
      </c>
      <c r="G37" s="1" t="s">
        <v>217</v>
      </c>
      <c r="I37" s="7">
        <v>146060017</v>
      </c>
      <c r="J37" s="1" t="s">
        <v>216</v>
      </c>
      <c r="K37" s="1">
        <v>60</v>
      </c>
      <c r="L37" s="35">
        <f>-(113.2+108.6)/2</f>
        <v>-110.9</v>
      </c>
      <c r="M37" s="35">
        <f>-(156.8+103.7)/2</f>
        <v>-130.25</v>
      </c>
      <c r="N37" s="35">
        <f t="shared" si="7"/>
        <v>1.1744815148782686</v>
      </c>
      <c r="O37" s="1" t="s">
        <v>218</v>
      </c>
    </row>
    <row r="38" spans="1:15" x14ac:dyDescent="0.2">
      <c r="A38" s="7">
        <v>251270011</v>
      </c>
      <c r="B38" s="1" t="s">
        <v>216</v>
      </c>
      <c r="C38" s="1">
        <v>60</v>
      </c>
      <c r="D38" s="35">
        <f>-(409.7+844.3)/2</f>
        <v>-627</v>
      </c>
      <c r="E38" s="35">
        <f>-(356.7+604.5)/2</f>
        <v>-480.6</v>
      </c>
      <c r="F38" s="35">
        <f t="shared" si="6"/>
        <v>0.76650717703349291</v>
      </c>
      <c r="G38" s="1" t="s">
        <v>217</v>
      </c>
      <c r="I38" s="7">
        <v>146210016</v>
      </c>
      <c r="J38" s="1" t="s">
        <v>216</v>
      </c>
      <c r="K38" s="1">
        <v>60</v>
      </c>
      <c r="L38" s="35">
        <f>-(547.5+484.2)/2</f>
        <v>-515.85</v>
      </c>
      <c r="M38" s="35">
        <f>-(308.1+235)/2</f>
        <v>-271.55</v>
      </c>
      <c r="N38" s="35">
        <f t="shared" si="7"/>
        <v>0.52641271687506053</v>
      </c>
      <c r="O38" s="1" t="s">
        <v>217</v>
      </c>
    </row>
    <row r="39" spans="1:15" x14ac:dyDescent="0.2">
      <c r="A39" s="5" t="s">
        <v>220</v>
      </c>
      <c r="B39" s="2" t="s">
        <v>216</v>
      </c>
      <c r="C39" s="2">
        <v>60</v>
      </c>
      <c r="D39" s="68">
        <f>-(44.4+33.9+10.3)/3</f>
        <v>-29.533333333333331</v>
      </c>
      <c r="E39" s="68">
        <f>-(73+49.7+15)/3</f>
        <v>-45.9</v>
      </c>
      <c r="F39" s="68">
        <f t="shared" si="6"/>
        <v>1.5541760722347631</v>
      </c>
      <c r="G39" s="2" t="s">
        <v>218</v>
      </c>
      <c r="I39" s="7" t="s">
        <v>238</v>
      </c>
      <c r="J39" s="1" t="s">
        <v>216</v>
      </c>
      <c r="K39" s="1">
        <v>60</v>
      </c>
      <c r="L39" s="35">
        <f>-(71.7+260.7)/2</f>
        <v>-166.2</v>
      </c>
      <c r="M39" s="35">
        <f>-(106.3+309.5)/2</f>
        <v>-207.9</v>
      </c>
      <c r="N39" s="35">
        <f t="shared" si="7"/>
        <v>1.2509025270758123</v>
      </c>
      <c r="O39" s="1" t="s">
        <v>218</v>
      </c>
    </row>
    <row r="40" spans="1:15" x14ac:dyDescent="0.2">
      <c r="A40" s="7">
        <v>251270055</v>
      </c>
      <c r="B40" s="1" t="s">
        <v>216</v>
      </c>
      <c r="C40" s="1">
        <v>60</v>
      </c>
      <c r="D40" s="35">
        <f>-(246.7+271.3+218.2+195.9)/4</f>
        <v>-233.02500000000001</v>
      </c>
      <c r="E40" s="35">
        <f>-(243.9+264.8+215+175.3)/4</f>
        <v>-224.75</v>
      </c>
      <c r="F40" s="35">
        <f t="shared" si="6"/>
        <v>0.96448878875657118</v>
      </c>
      <c r="G40" s="1" t="s">
        <v>217</v>
      </c>
      <c r="I40" s="7" t="s">
        <v>239</v>
      </c>
      <c r="J40" s="1" t="s">
        <v>216</v>
      </c>
      <c r="K40" s="1">
        <v>60</v>
      </c>
      <c r="L40" s="35">
        <f>-(91.7+131.6)/2</f>
        <v>-111.65</v>
      </c>
      <c r="M40" s="35">
        <v>-141.69999999999999</v>
      </c>
      <c r="N40" s="35">
        <f t="shared" si="7"/>
        <v>1.2691446484549931</v>
      </c>
      <c r="O40" s="1" t="s">
        <v>218</v>
      </c>
    </row>
    <row r="41" spans="1:15" x14ac:dyDescent="0.2">
      <c r="A41" s="7">
        <v>252120044</v>
      </c>
      <c r="B41" s="1" t="s">
        <v>216</v>
      </c>
      <c r="C41" s="1">
        <v>60</v>
      </c>
      <c r="D41" s="35">
        <f>-(1678.7+2421.7)/2</f>
        <v>-2050.1999999999998</v>
      </c>
      <c r="E41" s="35">
        <f>-(1216.7+1997.8)/2</f>
        <v>-1607.25</v>
      </c>
      <c r="F41" s="35">
        <f t="shared" si="6"/>
        <v>0.78394790752121746</v>
      </c>
      <c r="G41" s="1" t="s">
        <v>217</v>
      </c>
      <c r="I41" s="7" t="s">
        <v>240</v>
      </c>
      <c r="J41" s="1" t="s">
        <v>216</v>
      </c>
      <c r="K41" s="1">
        <v>60</v>
      </c>
      <c r="L41" s="35">
        <f>-(33.5+34.9)/2</f>
        <v>-34.200000000000003</v>
      </c>
      <c r="M41" s="35">
        <f>-(39.8+42.5)/2</f>
        <v>-41.15</v>
      </c>
      <c r="N41" s="35">
        <f t="shared" si="7"/>
        <v>1.2032163742690056</v>
      </c>
      <c r="O41" s="1" t="s">
        <v>218</v>
      </c>
    </row>
    <row r="42" spans="1:15" x14ac:dyDescent="0.2">
      <c r="A42" s="7" t="s">
        <v>221</v>
      </c>
      <c r="B42" s="1" t="s">
        <v>216</v>
      </c>
      <c r="C42" s="1">
        <v>60</v>
      </c>
      <c r="D42" s="35">
        <f>-(44+37.3+45.1+50.2+20+26)/6</f>
        <v>-37.1</v>
      </c>
      <c r="E42" s="35">
        <f>-(57.1+73+65.4+71.5+21.5+31)/6</f>
        <v>-53.25</v>
      </c>
      <c r="F42" s="35">
        <f t="shared" si="6"/>
        <v>1.4353099730458221</v>
      </c>
      <c r="G42" s="1" t="s">
        <v>218</v>
      </c>
      <c r="I42" s="7">
        <v>251090009</v>
      </c>
      <c r="J42" s="1" t="s">
        <v>216</v>
      </c>
      <c r="K42" s="1">
        <v>60</v>
      </c>
      <c r="L42" s="35">
        <f>-(369.1+1433+592)/3</f>
        <v>-798.0333333333333</v>
      </c>
      <c r="M42" s="35">
        <f>-(414.8+1507+608)/3</f>
        <v>-843.26666666666677</v>
      </c>
      <c r="N42" s="35">
        <f t="shared" si="7"/>
        <v>1.0566810074767137</v>
      </c>
      <c r="O42" s="1" t="s">
        <v>218</v>
      </c>
    </row>
    <row r="43" spans="1:15" x14ac:dyDescent="0.2">
      <c r="A43" s="7" t="s">
        <v>222</v>
      </c>
      <c r="B43" s="1" t="s">
        <v>216</v>
      </c>
      <c r="C43" s="1">
        <v>60</v>
      </c>
      <c r="D43" s="35">
        <f>-(173.8+185.8+198.9+193.9)/4</f>
        <v>-188.1</v>
      </c>
      <c r="E43" s="35">
        <f>-(139.1+175.8+171.2+170.5)/4</f>
        <v>-164.14999999999998</v>
      </c>
      <c r="F43" s="35">
        <f t="shared" si="6"/>
        <v>0.87267410951621471</v>
      </c>
      <c r="G43" s="1" t="s">
        <v>217</v>
      </c>
      <c r="I43" s="7">
        <v>251090026</v>
      </c>
      <c r="J43" s="1" t="s">
        <v>216</v>
      </c>
      <c r="K43" s="1">
        <v>60</v>
      </c>
      <c r="L43" s="35">
        <v>-49.6</v>
      </c>
      <c r="M43" s="35">
        <v>-70.2</v>
      </c>
      <c r="N43" s="35">
        <f t="shared" si="7"/>
        <v>1.4153225806451613</v>
      </c>
      <c r="O43" s="1" t="s">
        <v>218</v>
      </c>
    </row>
    <row r="44" spans="1:15" x14ac:dyDescent="0.2">
      <c r="I44" s="7">
        <v>251100002</v>
      </c>
      <c r="J44" s="1" t="s">
        <v>216</v>
      </c>
      <c r="K44" s="1">
        <v>60</v>
      </c>
      <c r="L44" s="35">
        <f>-(925+1031.7)/2</f>
        <v>-978.35</v>
      </c>
      <c r="M44" s="35">
        <f>-(1151+1167.1)/2</f>
        <v>-1159.05</v>
      </c>
      <c r="N44" s="35">
        <f t="shared" si="7"/>
        <v>1.1846987274492768</v>
      </c>
      <c r="O44" s="1" t="s">
        <v>218</v>
      </c>
    </row>
    <row r="45" spans="1:15" x14ac:dyDescent="0.2">
      <c r="I45" s="7">
        <v>251160018</v>
      </c>
      <c r="J45" s="1" t="s">
        <v>216</v>
      </c>
      <c r="K45" s="1">
        <v>60</v>
      </c>
      <c r="L45" s="35">
        <f>-(1328.6+236.6+172.7+117.5)/4</f>
        <v>-463.84999999999997</v>
      </c>
      <c r="M45" s="35">
        <f>-(1741.4+329.7+150.9+110.4)/4</f>
        <v>-583.1</v>
      </c>
      <c r="N45" s="35">
        <f t="shared" si="7"/>
        <v>1.2570874205023177</v>
      </c>
      <c r="O45" s="1" t="s">
        <v>218</v>
      </c>
    </row>
    <row r="46" spans="1:15" x14ac:dyDescent="0.2">
      <c r="I46" s="7">
        <v>251160033</v>
      </c>
      <c r="J46" s="1" t="s">
        <v>216</v>
      </c>
      <c r="K46" s="1">
        <v>60</v>
      </c>
      <c r="L46" s="35">
        <f>+-(72.5+61.7+56.3)/3</f>
        <v>-63.5</v>
      </c>
      <c r="M46" s="35">
        <f>-(72.8+66+58.3)/3</f>
        <v>-65.7</v>
      </c>
      <c r="N46" s="35">
        <f t="shared" si="7"/>
        <v>1.0346456692913386</v>
      </c>
      <c r="O46" s="1" t="s">
        <v>218</v>
      </c>
    </row>
    <row r="47" spans="1:15" x14ac:dyDescent="0.2">
      <c r="I47" s="7" t="s">
        <v>241</v>
      </c>
      <c r="J47" s="1" t="s">
        <v>216</v>
      </c>
      <c r="K47" s="1">
        <v>60</v>
      </c>
      <c r="L47" s="35">
        <f>-(69.8+69.2+25.4)/3</f>
        <v>-54.800000000000004</v>
      </c>
      <c r="M47" s="35">
        <f>-(102.8+133.4+81)/3</f>
        <v>-105.73333333333333</v>
      </c>
      <c r="N47" s="35">
        <f t="shared" si="7"/>
        <v>1.9294403892944039</v>
      </c>
      <c r="O47" s="1" t="s">
        <v>218</v>
      </c>
    </row>
    <row r="48" spans="1:15" x14ac:dyDescent="0.2">
      <c r="I48" s="5">
        <v>253190001</v>
      </c>
      <c r="J48" s="2" t="s">
        <v>216</v>
      </c>
      <c r="K48" s="2">
        <v>60</v>
      </c>
      <c r="L48" s="68">
        <v>22.2</v>
      </c>
      <c r="M48" s="68">
        <v>25.5</v>
      </c>
      <c r="N48" s="68">
        <f t="shared" si="7"/>
        <v>1.1486486486486487</v>
      </c>
      <c r="O48" s="2" t="s">
        <v>218</v>
      </c>
    </row>
    <row r="49" spans="1:15" x14ac:dyDescent="0.2">
      <c r="I49" s="7" t="s">
        <v>242</v>
      </c>
      <c r="J49" s="1" t="s">
        <v>216</v>
      </c>
      <c r="K49" s="1">
        <v>60</v>
      </c>
      <c r="L49" s="1">
        <f>-(57.8+82.1)/2</f>
        <v>-69.949999999999989</v>
      </c>
      <c r="M49" s="1">
        <f>-(85.2+107.5)/2</f>
        <v>-96.35</v>
      </c>
      <c r="N49" s="35">
        <f t="shared" si="7"/>
        <v>1.3774124374553254</v>
      </c>
      <c r="O49" s="1" t="s">
        <v>218</v>
      </c>
    </row>
    <row r="50" spans="1:15" x14ac:dyDescent="0.2">
      <c r="I50" s="5" t="s">
        <v>242</v>
      </c>
      <c r="J50" s="2" t="s">
        <v>216</v>
      </c>
      <c r="K50" s="2">
        <v>60</v>
      </c>
      <c r="L50" s="2">
        <f>-(8118.47+8217.51)/2</f>
        <v>-8167.99</v>
      </c>
      <c r="M50" s="2">
        <f>-(21393.4+22917)/2</f>
        <v>-22155.200000000001</v>
      </c>
      <c r="N50" s="68">
        <f t="shared" si="7"/>
        <v>2.7124421063199149</v>
      </c>
      <c r="O50" s="2" t="s">
        <v>218</v>
      </c>
    </row>
    <row r="51" spans="1:15" x14ac:dyDescent="0.2">
      <c r="I51" s="5">
        <v>254020002</v>
      </c>
      <c r="J51" s="2" t="s">
        <v>216</v>
      </c>
      <c r="K51" s="2">
        <v>60</v>
      </c>
      <c r="L51" s="2">
        <v>-71.099999999999994</v>
      </c>
      <c r="M51" s="2">
        <v>-74.8</v>
      </c>
      <c r="N51" s="68">
        <f t="shared" si="7"/>
        <v>1.0520393811533053</v>
      </c>
      <c r="O51" s="2" t="s">
        <v>218</v>
      </c>
    </row>
    <row r="52" spans="1:15" x14ac:dyDescent="0.2">
      <c r="I52" s="5" t="s">
        <v>243</v>
      </c>
      <c r="J52" s="2" t="s">
        <v>216</v>
      </c>
      <c r="K52" s="2">
        <v>60</v>
      </c>
      <c r="L52" s="2">
        <f>-(28.3+233.4+94.9+15.4)/4</f>
        <v>-93</v>
      </c>
      <c r="M52" s="2">
        <f>-(42.9+213.7+145.2+32.1)/4</f>
        <v>-108.47499999999999</v>
      </c>
      <c r="N52" s="68">
        <f t="shared" si="7"/>
        <v>1.1663978494623655</v>
      </c>
      <c r="O52" s="2" t="s">
        <v>218</v>
      </c>
    </row>
    <row r="53" spans="1:15" x14ac:dyDescent="0.2">
      <c r="I53" s="5" t="s">
        <v>244</v>
      </c>
      <c r="J53" s="2" t="s">
        <v>216</v>
      </c>
      <c r="K53" s="2">
        <v>60</v>
      </c>
      <c r="L53" s="2">
        <f>-(135+111.5)/2</f>
        <v>-123.25</v>
      </c>
      <c r="M53" s="2">
        <f>-(171.3+174)/2</f>
        <v>-172.65</v>
      </c>
      <c r="N53" s="68">
        <f t="shared" si="7"/>
        <v>1.4008113590263691</v>
      </c>
      <c r="O53" s="2" t="s">
        <v>218</v>
      </c>
    </row>
    <row r="54" spans="1:15" x14ac:dyDescent="0.2">
      <c r="I54" s="5" t="s">
        <v>245</v>
      </c>
      <c r="J54" s="2" t="s">
        <v>216</v>
      </c>
      <c r="K54" s="2">
        <v>60</v>
      </c>
      <c r="L54" s="2">
        <f>-(52+132.3+146.2)/3</f>
        <v>-110.16666666666667</v>
      </c>
      <c r="M54" s="2">
        <f>-(86.5+153.1+188.9)/3</f>
        <v>-142.83333333333334</v>
      </c>
      <c r="N54" s="68">
        <f t="shared" si="7"/>
        <v>1.2965204236006052</v>
      </c>
      <c r="O54" s="2" t="s">
        <v>218</v>
      </c>
    </row>
    <row r="57" spans="1:15" x14ac:dyDescent="0.2">
      <c r="A57" s="7" t="s">
        <v>0</v>
      </c>
      <c r="B57" s="8" t="s">
        <v>263</v>
      </c>
      <c r="D57" s="8">
        <f>COUNT(D36:D50)</f>
        <v>8</v>
      </c>
      <c r="E57" s="8">
        <f>COUNT(E36:E50)</f>
        <v>8</v>
      </c>
      <c r="F57" s="8">
        <f>COUNT(F36:F50)</f>
        <v>8</v>
      </c>
      <c r="G57" s="8" t="s">
        <v>215</v>
      </c>
      <c r="I57" s="7" t="s">
        <v>0</v>
      </c>
      <c r="J57" s="2" t="s">
        <v>265</v>
      </c>
      <c r="L57" s="8">
        <f>COUNT(L36:L56)</f>
        <v>19</v>
      </c>
      <c r="M57" s="8">
        <f t="shared" ref="M57:N57" si="8">COUNT(M36:M56)</f>
        <v>19</v>
      </c>
      <c r="N57" s="8">
        <f t="shared" si="8"/>
        <v>19</v>
      </c>
    </row>
    <row r="58" spans="1:15" x14ac:dyDescent="0.2">
      <c r="A58" s="7" t="s">
        <v>1</v>
      </c>
      <c r="D58" s="56">
        <f>AVERAGE(D36:D50)</f>
        <v>-407.29479166666658</v>
      </c>
      <c r="E58" s="56">
        <f>AVERAGE(E36:E50)</f>
        <v>-332.48750000000001</v>
      </c>
      <c r="F58" s="56">
        <f>AVERAGE(F36:F50)</f>
        <v>1.0219774039417757</v>
      </c>
      <c r="I58" s="7" t="s">
        <v>1</v>
      </c>
      <c r="L58" s="56">
        <f>AVERAGE(L36:L56)</f>
        <v>-637.85736842105257</v>
      </c>
      <c r="M58" s="56">
        <f t="shared" ref="M58:N58" si="9">AVERAGE(M36:M56)</f>
        <v>-1391.3267543859649</v>
      </c>
      <c r="N58" s="56">
        <f t="shared" si="9"/>
        <v>1.2645797908951442</v>
      </c>
      <c r="O58" s="35" t="s">
        <v>218</v>
      </c>
    </row>
    <row r="59" spans="1:15" x14ac:dyDescent="0.2">
      <c r="A59" s="7" t="s">
        <v>2</v>
      </c>
      <c r="D59" s="56">
        <f>STDEV(D36:D50)</f>
        <v>693.40045426789175</v>
      </c>
      <c r="E59" s="56">
        <f>STDEV(E36:E50)</f>
        <v>536.62617724738584</v>
      </c>
      <c r="F59" s="56">
        <f>STDEV(F36:F50)</f>
        <v>0.30039734629254694</v>
      </c>
      <c r="I59" s="7" t="s">
        <v>2</v>
      </c>
      <c r="L59" s="56">
        <f>STDEV(L36:L56)</f>
        <v>1843.8448410880151</v>
      </c>
      <c r="M59" s="56">
        <f t="shared" ref="M59:N59" si="10">STDEV(M36:M56)</f>
        <v>5037.245986034055</v>
      </c>
      <c r="N59" s="56">
        <f t="shared" si="10"/>
        <v>0.45962528588160195</v>
      </c>
      <c r="O59" s="69"/>
    </row>
    <row r="60" spans="1:15" x14ac:dyDescent="0.2">
      <c r="A60" s="7" t="s">
        <v>3</v>
      </c>
      <c r="D60" s="56">
        <f>D59/SQRT(D57)</f>
        <v>245.15408164532937</v>
      </c>
      <c r="E60" s="56">
        <f>E59/SQRT(E57)</f>
        <v>189.72600444692034</v>
      </c>
      <c r="F60" s="56">
        <f>F59/SQRT(F57)</f>
        <v>0.10620650030695176</v>
      </c>
      <c r="I60" s="7" t="s">
        <v>3</v>
      </c>
      <c r="L60" s="56">
        <f>L59/SQRT(L57)</f>
        <v>423.00701736165627</v>
      </c>
      <c r="M60" s="56">
        <f t="shared" ref="M60:N60" si="11">M59/SQRT(M57)</f>
        <v>1155.6234845725442</v>
      </c>
      <c r="N60" s="56">
        <f t="shared" si="11"/>
        <v>0.10544527226599446</v>
      </c>
      <c r="O60" s="69"/>
    </row>
    <row r="61" spans="1:15" x14ac:dyDescent="0.2">
      <c r="A61" s="7" t="s">
        <v>254</v>
      </c>
      <c r="G61" s="8">
        <f>2/8*100</f>
        <v>25</v>
      </c>
      <c r="I61" s="7" t="s">
        <v>254</v>
      </c>
      <c r="O61" s="69">
        <f>17/19*100</f>
        <v>89.473684210526315</v>
      </c>
    </row>
    <row r="62" spans="1:15" x14ac:dyDescent="0.2">
      <c r="I62" s="7"/>
      <c r="J62" s="8" t="s">
        <v>269</v>
      </c>
      <c r="O62" s="20"/>
    </row>
    <row r="64" spans="1:15" x14ac:dyDescent="0.2">
      <c r="D64" s="1" t="s">
        <v>227</v>
      </c>
      <c r="L64" s="1" t="s">
        <v>227</v>
      </c>
    </row>
    <row r="65" spans="1:15" x14ac:dyDescent="0.2">
      <c r="A65" s="7" t="s">
        <v>12</v>
      </c>
      <c r="B65" s="1" t="s">
        <v>210</v>
      </c>
      <c r="C65" s="1" t="s">
        <v>211</v>
      </c>
      <c r="D65" s="1" t="s">
        <v>212</v>
      </c>
      <c r="E65" s="1" t="s">
        <v>213</v>
      </c>
      <c r="F65" s="1" t="s">
        <v>214</v>
      </c>
      <c r="G65" s="1" t="s">
        <v>215</v>
      </c>
      <c r="I65" s="7" t="s">
        <v>12</v>
      </c>
      <c r="J65" s="1" t="s">
        <v>210</v>
      </c>
      <c r="K65" s="1" t="s">
        <v>211</v>
      </c>
      <c r="L65" s="1" t="s">
        <v>212</v>
      </c>
      <c r="M65" s="1" t="s">
        <v>213</v>
      </c>
      <c r="N65" s="1" t="s">
        <v>214</v>
      </c>
      <c r="O65" s="1" t="s">
        <v>215</v>
      </c>
    </row>
    <row r="66" spans="1:15" x14ac:dyDescent="0.2">
      <c r="A66" s="7">
        <v>146060041</v>
      </c>
      <c r="B66" s="1" t="s">
        <v>216</v>
      </c>
      <c r="C66" s="1">
        <v>100</v>
      </c>
      <c r="D66" s="35">
        <v>-27.6</v>
      </c>
      <c r="E66" s="35">
        <v>-21.2</v>
      </c>
      <c r="F66" s="35">
        <f t="shared" ref="F66:F73" si="12">E66/D66</f>
        <v>0.76811594202898548</v>
      </c>
      <c r="G66" s="1" t="s">
        <v>217</v>
      </c>
      <c r="I66" s="7">
        <v>146060008</v>
      </c>
      <c r="J66" s="1" t="s">
        <v>216</v>
      </c>
      <c r="K66" s="1">
        <v>100</v>
      </c>
      <c r="L66" s="35">
        <v>-115.1</v>
      </c>
      <c r="M66" s="35">
        <v>-116.5</v>
      </c>
      <c r="N66" s="35">
        <f t="shared" ref="N66:N75" si="13">M66/L66</f>
        <v>1.0121633362293658</v>
      </c>
      <c r="O66" s="1" t="s">
        <v>218</v>
      </c>
    </row>
    <row r="67" spans="1:15" x14ac:dyDescent="0.2">
      <c r="A67" s="7">
        <v>146060059</v>
      </c>
      <c r="B67" s="1" t="s">
        <v>216</v>
      </c>
      <c r="C67" s="1">
        <v>100</v>
      </c>
      <c r="D67" s="35">
        <v>-27.6</v>
      </c>
      <c r="E67" s="35">
        <v>-21.2</v>
      </c>
      <c r="F67" s="35">
        <f t="shared" si="12"/>
        <v>0.76811594202898548</v>
      </c>
      <c r="G67" s="1" t="s">
        <v>217</v>
      </c>
      <c r="I67" s="7">
        <v>146060019</v>
      </c>
      <c r="J67" s="1" t="s">
        <v>216</v>
      </c>
      <c r="K67" s="1">
        <v>100</v>
      </c>
      <c r="L67" s="35">
        <v>-70</v>
      </c>
      <c r="M67" s="35">
        <v>-82</v>
      </c>
      <c r="N67" s="35">
        <f t="shared" si="13"/>
        <v>1.1714285714285715</v>
      </c>
      <c r="O67" s="1" t="s">
        <v>218</v>
      </c>
    </row>
    <row r="68" spans="1:15" x14ac:dyDescent="0.2">
      <c r="A68" s="7">
        <v>251270012</v>
      </c>
      <c r="B68" s="1" t="s">
        <v>216</v>
      </c>
      <c r="C68" s="1">
        <v>100</v>
      </c>
      <c r="D68" s="35">
        <v>-565.1</v>
      </c>
      <c r="E68" s="35">
        <v>-313.3</v>
      </c>
      <c r="F68" s="35">
        <f t="shared" si="12"/>
        <v>0.55441514776145817</v>
      </c>
      <c r="G68" s="1" t="s">
        <v>217</v>
      </c>
      <c r="I68" s="7">
        <v>146210019</v>
      </c>
      <c r="J68" s="1" t="s">
        <v>216</v>
      </c>
      <c r="K68" s="1">
        <v>100</v>
      </c>
      <c r="L68" s="35">
        <v>-523.9</v>
      </c>
      <c r="M68" s="35">
        <v>-321.89999999999998</v>
      </c>
      <c r="N68" s="35">
        <f t="shared" si="13"/>
        <v>0.61443023477762926</v>
      </c>
      <c r="O68" s="1" t="s">
        <v>217</v>
      </c>
    </row>
    <row r="69" spans="1:15" x14ac:dyDescent="0.2">
      <c r="A69" s="5">
        <v>251270034</v>
      </c>
      <c r="B69" s="2" t="s">
        <v>216</v>
      </c>
      <c r="C69" s="2">
        <v>100</v>
      </c>
      <c r="D69" s="68">
        <f>-(25.1+16.5)/2</f>
        <v>-20.8</v>
      </c>
      <c r="E69" s="68">
        <f>-(31.2+24.3)/2</f>
        <v>-27.75</v>
      </c>
      <c r="F69" s="68">
        <f t="shared" si="12"/>
        <v>1.3341346153846154</v>
      </c>
      <c r="G69" s="2" t="s">
        <v>218</v>
      </c>
      <c r="I69" s="7">
        <v>146210045</v>
      </c>
      <c r="J69" s="1" t="s">
        <v>216</v>
      </c>
      <c r="K69" s="1">
        <v>100</v>
      </c>
      <c r="L69" s="35">
        <v>-228.3</v>
      </c>
      <c r="M69" s="35">
        <v>-183.3</v>
      </c>
      <c r="N69" s="35">
        <f t="shared" si="13"/>
        <v>0.80289093298291725</v>
      </c>
      <c r="O69" s="1" t="s">
        <v>217</v>
      </c>
    </row>
    <row r="70" spans="1:15" x14ac:dyDescent="0.2">
      <c r="A70" s="7">
        <v>251270053</v>
      </c>
      <c r="B70" s="1" t="s">
        <v>216</v>
      </c>
      <c r="C70" s="1">
        <v>100</v>
      </c>
      <c r="D70" s="35">
        <f>-(215.7+248.2)/2</f>
        <v>-231.95</v>
      </c>
      <c r="E70" s="35">
        <f>-(214.5+244.2)/2</f>
        <v>-229.35</v>
      </c>
      <c r="F70" s="35">
        <f t="shared" si="12"/>
        <v>0.98879068764820011</v>
      </c>
      <c r="G70" s="1" t="s">
        <v>217</v>
      </c>
      <c r="I70" s="7" t="s">
        <v>246</v>
      </c>
      <c r="J70" s="1" t="s">
        <v>216</v>
      </c>
      <c r="K70" s="1">
        <v>100</v>
      </c>
      <c r="L70" s="35">
        <v>-185.5</v>
      </c>
      <c r="M70" s="35">
        <v>-220.8</v>
      </c>
      <c r="N70" s="35">
        <f t="shared" si="13"/>
        <v>1.1902964959568734</v>
      </c>
      <c r="O70" s="1" t="s">
        <v>218</v>
      </c>
    </row>
    <row r="71" spans="1:15" x14ac:dyDescent="0.2">
      <c r="A71" s="7">
        <v>252120041</v>
      </c>
      <c r="B71" s="1" t="s">
        <v>216</v>
      </c>
      <c r="C71" s="1">
        <v>100</v>
      </c>
      <c r="D71" s="35">
        <v>-1684.1</v>
      </c>
      <c r="E71" s="35">
        <v>-1308</v>
      </c>
      <c r="F71" s="35">
        <f t="shared" si="12"/>
        <v>0.77667596936048933</v>
      </c>
      <c r="G71" s="1" t="s">
        <v>217</v>
      </c>
      <c r="I71" s="7" t="s">
        <v>247</v>
      </c>
      <c r="J71" s="1" t="s">
        <v>216</v>
      </c>
      <c r="K71" s="1">
        <v>100</v>
      </c>
      <c r="L71" s="35">
        <v>-106.8</v>
      </c>
      <c r="M71" s="35">
        <v>-130.5</v>
      </c>
      <c r="N71" s="35">
        <f t="shared" si="13"/>
        <v>1.2219101123595506</v>
      </c>
      <c r="O71" s="1" t="s">
        <v>218</v>
      </c>
    </row>
    <row r="72" spans="1:15" x14ac:dyDescent="0.2">
      <c r="A72" s="7" t="s">
        <v>225</v>
      </c>
      <c r="B72" s="1" t="s">
        <v>216</v>
      </c>
      <c r="C72" s="1">
        <v>100</v>
      </c>
      <c r="D72" s="35">
        <f>-(55.8+16.2)/2</f>
        <v>-36</v>
      </c>
      <c r="E72" s="35">
        <f>-(52.9+19.3)/2</f>
        <v>-36.1</v>
      </c>
      <c r="F72" s="35">
        <f t="shared" si="12"/>
        <v>1.0027777777777778</v>
      </c>
      <c r="G72" s="1" t="s">
        <v>230</v>
      </c>
      <c r="I72" s="7" t="s">
        <v>248</v>
      </c>
      <c r="J72" s="1" t="s">
        <v>216</v>
      </c>
      <c r="K72" s="1">
        <v>100</v>
      </c>
      <c r="L72" s="35">
        <v>-27.9</v>
      </c>
      <c r="M72" s="35">
        <v>-33</v>
      </c>
      <c r="N72" s="35">
        <f t="shared" si="13"/>
        <v>1.1827956989247312</v>
      </c>
      <c r="O72" s="1" t="s">
        <v>218</v>
      </c>
    </row>
    <row r="73" spans="1:15" x14ac:dyDescent="0.2">
      <c r="A73" s="7" t="s">
        <v>226</v>
      </c>
      <c r="B73" s="1" t="s">
        <v>216</v>
      </c>
      <c r="C73" s="1">
        <v>100</v>
      </c>
      <c r="D73" s="35">
        <f>-(180.6+199.4+206.7)/3</f>
        <v>-195.56666666666669</v>
      </c>
      <c r="E73" s="35">
        <f>-(141+170.2+168.7)/3</f>
        <v>-159.96666666666667</v>
      </c>
      <c r="F73" s="35">
        <f t="shared" si="12"/>
        <v>0.81796488835861592</v>
      </c>
      <c r="G73" s="1" t="s">
        <v>217</v>
      </c>
      <c r="I73" s="7">
        <v>251090010</v>
      </c>
      <c r="J73" s="1" t="s">
        <v>216</v>
      </c>
      <c r="K73" s="1">
        <v>100</v>
      </c>
      <c r="L73" s="35">
        <v>-293.60000000000002</v>
      </c>
      <c r="M73" s="35">
        <v>-310.7</v>
      </c>
      <c r="N73" s="35">
        <f t="shared" si="13"/>
        <v>1.0582425068119889</v>
      </c>
      <c r="O73" s="1" t="s">
        <v>218</v>
      </c>
    </row>
    <row r="74" spans="1:15" x14ac:dyDescent="0.2">
      <c r="I74" s="7">
        <v>251090027</v>
      </c>
      <c r="J74" s="1" t="s">
        <v>216</v>
      </c>
      <c r="K74" s="1">
        <v>100</v>
      </c>
      <c r="L74" s="35">
        <v>-41.4</v>
      </c>
      <c r="M74" s="35">
        <v>-56.2</v>
      </c>
      <c r="N74" s="35">
        <f t="shared" si="13"/>
        <v>1.357487922705314</v>
      </c>
      <c r="O74" s="1" t="s">
        <v>218</v>
      </c>
    </row>
    <row r="75" spans="1:15" x14ac:dyDescent="0.2">
      <c r="I75" s="7">
        <v>251100004</v>
      </c>
      <c r="J75" s="1" t="s">
        <v>216</v>
      </c>
      <c r="K75" s="1">
        <v>100</v>
      </c>
      <c r="L75" s="35">
        <v>-609.5</v>
      </c>
      <c r="M75" s="35">
        <v>-590.5</v>
      </c>
      <c r="N75" s="35">
        <f t="shared" si="13"/>
        <v>0.96882690730106646</v>
      </c>
      <c r="O75" s="1" t="s">
        <v>217</v>
      </c>
    </row>
    <row r="76" spans="1:15" x14ac:dyDescent="0.2">
      <c r="I76" s="7">
        <v>251160020</v>
      </c>
      <c r="J76" s="1" t="s">
        <v>216</v>
      </c>
      <c r="K76" s="1">
        <v>100</v>
      </c>
      <c r="L76" s="35">
        <v>-108.5</v>
      </c>
      <c r="M76" s="35">
        <v>-98.7</v>
      </c>
      <c r="N76" s="35">
        <f>M76/L76</f>
        <v>0.9096774193548387</v>
      </c>
      <c r="O76" s="1" t="s">
        <v>217</v>
      </c>
    </row>
    <row r="77" spans="1:15" x14ac:dyDescent="0.2">
      <c r="I77" s="7">
        <v>251160036</v>
      </c>
      <c r="J77" s="1" t="s">
        <v>216</v>
      </c>
      <c r="K77" s="1">
        <v>100</v>
      </c>
      <c r="L77" s="35">
        <v>-45</v>
      </c>
      <c r="M77" s="35">
        <v>-39.200000000000003</v>
      </c>
      <c r="N77" s="35">
        <f>M77/L77</f>
        <v>0.87111111111111117</v>
      </c>
      <c r="O77" s="1" t="s">
        <v>217</v>
      </c>
    </row>
    <row r="78" spans="1:15" x14ac:dyDescent="0.2">
      <c r="I78" s="7" t="s">
        <v>249</v>
      </c>
      <c r="J78" s="1" t="s">
        <v>216</v>
      </c>
      <c r="K78" s="1">
        <v>100</v>
      </c>
      <c r="L78" s="35">
        <f>-(45.8+70.4)/2</f>
        <v>-58.1</v>
      </c>
      <c r="M78" s="35">
        <f>-(100.8+128.5)/2</f>
        <v>-114.65</v>
      </c>
      <c r="N78" s="35">
        <f>M78/L78</f>
        <v>1.9733218588640276</v>
      </c>
      <c r="O78" s="1" t="s">
        <v>218</v>
      </c>
    </row>
    <row r="79" spans="1:15" x14ac:dyDescent="0.2">
      <c r="I79" s="5">
        <v>252190002</v>
      </c>
      <c r="J79" s="2" t="s">
        <v>216</v>
      </c>
      <c r="K79" s="2">
        <v>100</v>
      </c>
      <c r="L79" s="68">
        <v>16.600000000000001</v>
      </c>
      <c r="M79" s="68">
        <v>36.299999999999997</v>
      </c>
      <c r="N79" s="68">
        <f>M79/L79</f>
        <v>2.1867469879518069</v>
      </c>
      <c r="O79" s="2" t="s">
        <v>218</v>
      </c>
    </row>
    <row r="80" spans="1:15" x14ac:dyDescent="0.2">
      <c r="I80" s="5" t="s">
        <v>250</v>
      </c>
      <c r="J80" s="2" t="s">
        <v>216</v>
      </c>
      <c r="K80" s="2">
        <v>100</v>
      </c>
      <c r="L80" s="68">
        <f>-(70.4+92.5)/2</f>
        <v>-81.45</v>
      </c>
      <c r="M80" s="68">
        <f>-(82.7+104.6)/2</f>
        <v>-93.65</v>
      </c>
      <c r="N80" s="68">
        <f>M80/L80</f>
        <v>1.1497851442602824</v>
      </c>
      <c r="O80" s="2" t="s">
        <v>218</v>
      </c>
    </row>
    <row r="81" spans="1:15" x14ac:dyDescent="0.2">
      <c r="I81" s="5" t="s">
        <v>251</v>
      </c>
      <c r="J81" s="2" t="s">
        <v>216</v>
      </c>
      <c r="K81" s="2">
        <v>100</v>
      </c>
      <c r="L81" s="2">
        <v>-10069</v>
      </c>
      <c r="M81" s="2">
        <v>-10385.700000000001</v>
      </c>
      <c r="N81" s="68">
        <f t="shared" ref="N81:N84" si="14">M81/L81</f>
        <v>1.0314529744761149</v>
      </c>
      <c r="O81" s="2" t="s">
        <v>218</v>
      </c>
    </row>
    <row r="82" spans="1:15" x14ac:dyDescent="0.2">
      <c r="I82" s="5" t="s">
        <v>252</v>
      </c>
      <c r="J82" s="2" t="s">
        <v>216</v>
      </c>
      <c r="K82" s="2">
        <v>100</v>
      </c>
      <c r="L82" s="2">
        <f>-(24+108.1+60.2)/3</f>
        <v>-64.100000000000009</v>
      </c>
      <c r="M82" s="68">
        <f>-(40.6+149.9+80.3)/3</f>
        <v>-90.266666666666666</v>
      </c>
      <c r="N82" s="68">
        <f t="shared" si="14"/>
        <v>1.4082163286531459</v>
      </c>
      <c r="O82" s="2" t="s">
        <v>218</v>
      </c>
    </row>
    <row r="83" spans="1:15" x14ac:dyDescent="0.2">
      <c r="I83" s="5">
        <v>254020051</v>
      </c>
      <c r="J83" s="2" t="s">
        <v>216</v>
      </c>
      <c r="K83" s="2">
        <v>100</v>
      </c>
      <c r="L83" s="2">
        <v>-135.19999999999999</v>
      </c>
      <c r="M83" s="2">
        <v>-163.1</v>
      </c>
      <c r="N83" s="68">
        <f t="shared" si="14"/>
        <v>1.2063609467455623</v>
      </c>
      <c r="O83" s="2" t="s">
        <v>218</v>
      </c>
    </row>
    <row r="84" spans="1:15" x14ac:dyDescent="0.2">
      <c r="I84" s="5" t="s">
        <v>253</v>
      </c>
      <c r="J84" s="2" t="s">
        <v>216</v>
      </c>
      <c r="K84" s="2">
        <v>100</v>
      </c>
      <c r="L84" s="2">
        <f>-(104.8+127.3)/2</f>
        <v>-116.05</v>
      </c>
      <c r="M84" s="2">
        <f>-(123.2+140)/2</f>
        <v>-131.6</v>
      </c>
      <c r="N84" s="68">
        <f t="shared" si="14"/>
        <v>1.1339939681171909</v>
      </c>
      <c r="O84" s="2" t="s">
        <v>218</v>
      </c>
    </row>
    <row r="85" spans="1:15" x14ac:dyDescent="0.2">
      <c r="I85" s="67"/>
      <c r="J85" s="60"/>
      <c r="K85" s="60"/>
      <c r="L85" s="60"/>
      <c r="M85" s="60"/>
      <c r="N85" s="61"/>
      <c r="O85" s="60"/>
    </row>
    <row r="86" spans="1:15" x14ac:dyDescent="0.2">
      <c r="I86" s="7"/>
      <c r="J86" s="1"/>
      <c r="K86" s="1"/>
      <c r="L86" s="1"/>
      <c r="M86" s="1"/>
      <c r="N86" s="1"/>
      <c r="O86" s="1"/>
    </row>
    <row r="87" spans="1:15" x14ac:dyDescent="0.2">
      <c r="A87" s="7" t="s">
        <v>0</v>
      </c>
      <c r="D87" s="1">
        <f>COUNT(D66:D86)</f>
        <v>8</v>
      </c>
      <c r="E87" s="1">
        <f>COUNT(E66:E86)</f>
        <v>8</v>
      </c>
      <c r="F87" s="1">
        <f>COUNT(F66:F86)</f>
        <v>8</v>
      </c>
      <c r="G87" s="1" t="s">
        <v>215</v>
      </c>
      <c r="I87" s="7" t="s">
        <v>0</v>
      </c>
      <c r="J87" s="8" t="s">
        <v>265</v>
      </c>
      <c r="L87" s="1">
        <f>COUNT(L66:L86)</f>
        <v>19</v>
      </c>
      <c r="M87" s="1">
        <f>COUNT(M66:M86)</f>
        <v>19</v>
      </c>
      <c r="N87" s="1">
        <f>COUNT(N66:N86)</f>
        <v>19</v>
      </c>
      <c r="O87" s="2" t="s">
        <v>215</v>
      </c>
    </row>
    <row r="88" spans="1:15" x14ac:dyDescent="0.2">
      <c r="A88" s="7" t="s">
        <v>1</v>
      </c>
      <c r="D88" s="35">
        <f>AVERAGE(D66:D86)</f>
        <v>-348.58958333333328</v>
      </c>
      <c r="E88" s="35">
        <f>AVERAGE(E66:E86)</f>
        <v>-264.60833333333329</v>
      </c>
      <c r="F88" s="35">
        <f>AVERAGE(F66:F86)</f>
        <v>0.87637387129364097</v>
      </c>
      <c r="G88" s="1" t="s">
        <v>217</v>
      </c>
      <c r="I88" s="7" t="s">
        <v>1</v>
      </c>
      <c r="L88" s="35">
        <f>AVERAGE(L66:L86)</f>
        <v>-676.98947368421057</v>
      </c>
      <c r="M88" s="35">
        <f>AVERAGE(M66:M86)</f>
        <v>-690.84035087719303</v>
      </c>
      <c r="N88" s="35">
        <f>AVERAGE(N66:N86)</f>
        <v>1.1816389188953729</v>
      </c>
      <c r="O88" s="35" t="s">
        <v>218</v>
      </c>
    </row>
    <row r="89" spans="1:15" x14ac:dyDescent="0.2">
      <c r="A89" s="7" t="s">
        <v>2</v>
      </c>
      <c r="D89" s="35">
        <f>STDEV(D66:D86)</f>
        <v>570.55267976924358</v>
      </c>
      <c r="E89" s="35">
        <f>STDEV(E66:E86)</f>
        <v>435.89697978321317</v>
      </c>
      <c r="F89" s="35">
        <f>STDEV(F66:F86)</f>
        <v>0.23256601093565388</v>
      </c>
      <c r="I89" s="7" t="s">
        <v>2</v>
      </c>
      <c r="L89" s="35">
        <f>STDEV(L66:L86)</f>
        <v>2280.1980780539261</v>
      </c>
      <c r="M89" s="35">
        <f>STDEV(M66:M86)</f>
        <v>2351.7625316924982</v>
      </c>
      <c r="N89" s="35">
        <f>STDEV(N66:N86)</f>
        <v>0.37060927465251886</v>
      </c>
      <c r="O89" s="56"/>
    </row>
    <row r="90" spans="1:15" x14ac:dyDescent="0.2">
      <c r="A90" s="7" t="s">
        <v>3</v>
      </c>
      <c r="D90" s="35">
        <f>D89/SQRT(D87)</f>
        <v>201.72083444449441</v>
      </c>
      <c r="E90" s="35">
        <f>E89/SQRT(E87)</f>
        <v>154.1128551517227</v>
      </c>
      <c r="F90" s="35">
        <f>F89/SQRT(F87)</f>
        <v>8.2224501703052802E-2</v>
      </c>
      <c r="I90" s="7" t="s">
        <v>3</v>
      </c>
      <c r="L90" s="35">
        <f>L89/SQRT(L87)</f>
        <v>523.11331544698589</v>
      </c>
      <c r="M90" s="35">
        <f>M89/SQRT(M87)</f>
        <v>539.5313270975247</v>
      </c>
      <c r="N90" s="35">
        <f>N89/SQRT(N87)</f>
        <v>8.5023598723644192E-2</v>
      </c>
    </row>
    <row r="91" spans="1:15" x14ac:dyDescent="0.2">
      <c r="A91" s="7" t="s">
        <v>254</v>
      </c>
      <c r="G91" s="8">
        <f>1/8*100</f>
        <v>12.5</v>
      </c>
      <c r="I91" s="7" t="s">
        <v>254</v>
      </c>
      <c r="O91" s="35">
        <f>14/19*100</f>
        <v>73.68421052631578</v>
      </c>
    </row>
    <row r="92" spans="1:15" x14ac:dyDescent="0.2">
      <c r="J92" s="8" t="s">
        <v>268</v>
      </c>
    </row>
    <row r="94" spans="1:15" x14ac:dyDescent="0.2">
      <c r="D94" s="1" t="s">
        <v>255</v>
      </c>
      <c r="I94" s="7" t="s">
        <v>12</v>
      </c>
      <c r="J94" s="1" t="s">
        <v>210</v>
      </c>
      <c r="K94" s="1" t="s">
        <v>211</v>
      </c>
      <c r="L94" s="1" t="s">
        <v>212</v>
      </c>
      <c r="M94" s="1" t="s">
        <v>213</v>
      </c>
      <c r="N94" s="1" t="s">
        <v>214</v>
      </c>
      <c r="O94" s="1" t="s">
        <v>215</v>
      </c>
    </row>
    <row r="95" spans="1:15" x14ac:dyDescent="0.2">
      <c r="A95" s="7" t="s">
        <v>12</v>
      </c>
      <c r="B95" s="1" t="s">
        <v>210</v>
      </c>
      <c r="C95" s="1" t="s">
        <v>211</v>
      </c>
      <c r="D95" s="1" t="s">
        <v>212</v>
      </c>
      <c r="E95" s="1" t="s">
        <v>213</v>
      </c>
      <c r="F95" s="1" t="s">
        <v>214</v>
      </c>
      <c r="G95" s="1" t="s">
        <v>215</v>
      </c>
      <c r="I95" s="7">
        <v>146060009</v>
      </c>
      <c r="J95" s="1" t="s">
        <v>216</v>
      </c>
      <c r="K95" s="1">
        <v>300</v>
      </c>
      <c r="L95" s="35">
        <v>-107.4</v>
      </c>
      <c r="M95" s="35">
        <v>-91.4</v>
      </c>
      <c r="N95" s="35">
        <f t="shared" ref="N95:N113" si="15">M95/L95</f>
        <v>0.85102420856610805</v>
      </c>
      <c r="O95" s="1" t="s">
        <v>217</v>
      </c>
    </row>
    <row r="96" spans="1:15" x14ac:dyDescent="0.2">
      <c r="A96" s="7">
        <v>146060042</v>
      </c>
      <c r="B96" s="1" t="s">
        <v>216</v>
      </c>
      <c r="C96" s="1">
        <v>300</v>
      </c>
      <c r="D96" s="35">
        <v>-24.1</v>
      </c>
      <c r="E96" s="35">
        <v>-22.4</v>
      </c>
      <c r="F96" s="35">
        <f t="shared" ref="F96:F102" si="16">E96/D96</f>
        <v>0.92946058091286299</v>
      </c>
      <c r="G96" s="1" t="s">
        <v>217</v>
      </c>
      <c r="I96" s="7">
        <v>146060020</v>
      </c>
      <c r="J96" s="1" t="s">
        <v>216</v>
      </c>
      <c r="K96" s="1">
        <v>300</v>
      </c>
      <c r="L96" s="35">
        <v>-66</v>
      </c>
      <c r="M96" s="35">
        <v>-68</v>
      </c>
      <c r="N96" s="35">
        <f t="shared" si="15"/>
        <v>1.0303030303030303</v>
      </c>
      <c r="O96" s="1" t="s">
        <v>218</v>
      </c>
    </row>
    <row r="97" spans="1:15" x14ac:dyDescent="0.2">
      <c r="A97" s="7">
        <v>146060060</v>
      </c>
      <c r="B97" s="1" t="s">
        <v>216</v>
      </c>
      <c r="C97" s="1">
        <v>300</v>
      </c>
      <c r="D97" s="35">
        <v>-24.1</v>
      </c>
      <c r="E97" s="35">
        <v>-22.4</v>
      </c>
      <c r="F97" s="35">
        <f t="shared" si="16"/>
        <v>0.92946058091286299</v>
      </c>
      <c r="G97" s="1" t="s">
        <v>217</v>
      </c>
      <c r="I97" s="7">
        <v>146210020</v>
      </c>
      <c r="J97" s="1" t="s">
        <v>216</v>
      </c>
      <c r="K97" s="1">
        <v>300</v>
      </c>
      <c r="L97" s="35">
        <v>-558.70000000000005</v>
      </c>
      <c r="M97" s="35">
        <v>-473.1</v>
      </c>
      <c r="N97" s="35">
        <f t="shared" si="15"/>
        <v>0.84678718453552893</v>
      </c>
      <c r="O97" s="1" t="s">
        <v>217</v>
      </c>
    </row>
    <row r="98" spans="1:15" x14ac:dyDescent="0.2">
      <c r="A98" s="7">
        <v>251270013</v>
      </c>
      <c r="B98" s="1" t="s">
        <v>216</v>
      </c>
      <c r="C98" s="1">
        <v>300</v>
      </c>
      <c r="D98" s="35">
        <v>-906.9</v>
      </c>
      <c r="E98" s="35">
        <v>-577.1</v>
      </c>
      <c r="F98" s="35">
        <f t="shared" si="16"/>
        <v>0.63634358804719382</v>
      </c>
      <c r="G98" s="1" t="s">
        <v>217</v>
      </c>
      <c r="I98" s="7">
        <v>146210046</v>
      </c>
      <c r="J98" s="1" t="s">
        <v>216</v>
      </c>
      <c r="K98" s="1">
        <v>300</v>
      </c>
      <c r="L98" s="35">
        <v>-207.9</v>
      </c>
      <c r="M98" s="35">
        <v>-182.8</v>
      </c>
      <c r="N98" s="35">
        <f t="shared" si="15"/>
        <v>0.87926887926887931</v>
      </c>
      <c r="O98" s="1" t="s">
        <v>217</v>
      </c>
    </row>
    <row r="99" spans="1:15" x14ac:dyDescent="0.2">
      <c r="A99" s="5">
        <v>251270035</v>
      </c>
      <c r="B99" s="2" t="s">
        <v>216</v>
      </c>
      <c r="C99" s="2">
        <v>300</v>
      </c>
      <c r="D99" s="68">
        <f>-(13.1+20.3)/2</f>
        <v>-16.7</v>
      </c>
      <c r="E99" s="68">
        <f>-(19.3+15.5)/2</f>
        <v>-17.399999999999999</v>
      </c>
      <c r="F99" s="68">
        <f t="shared" si="16"/>
        <v>1.0419161676646707</v>
      </c>
      <c r="G99" s="2" t="s">
        <v>218</v>
      </c>
      <c r="I99" s="7" t="s">
        <v>256</v>
      </c>
      <c r="J99" s="1" t="s">
        <v>216</v>
      </c>
      <c r="K99" s="1">
        <v>300</v>
      </c>
      <c r="L99" s="35">
        <v>-169.7</v>
      </c>
      <c r="M99" s="35">
        <v>-201.9</v>
      </c>
      <c r="N99" s="35">
        <f t="shared" si="15"/>
        <v>1.1897466116676489</v>
      </c>
      <c r="O99" s="1" t="s">
        <v>218</v>
      </c>
    </row>
    <row r="100" spans="1:15" x14ac:dyDescent="0.2">
      <c r="A100" s="7">
        <v>251270054</v>
      </c>
      <c r="B100" s="1" t="s">
        <v>216</v>
      </c>
      <c r="C100" s="1">
        <v>300</v>
      </c>
      <c r="D100" s="35">
        <f>-(217.3+251)/2</f>
        <v>-234.15</v>
      </c>
      <c r="E100" s="35">
        <f>-(221.6+248.2)/2</f>
        <v>-234.89999999999998</v>
      </c>
      <c r="F100" s="35">
        <f t="shared" si="16"/>
        <v>1.0032030749519538</v>
      </c>
      <c r="G100" s="1" t="s">
        <v>230</v>
      </c>
      <c r="I100" s="7" t="s">
        <v>257</v>
      </c>
      <c r="J100" s="1" t="s">
        <v>216</v>
      </c>
      <c r="K100" s="1">
        <v>300</v>
      </c>
      <c r="L100" s="35">
        <v>-51.8</v>
      </c>
      <c r="M100" s="35">
        <v>-44.2</v>
      </c>
      <c r="N100" s="35">
        <f t="shared" si="15"/>
        <v>0.85328185328185335</v>
      </c>
      <c r="O100" s="1" t="s">
        <v>217</v>
      </c>
    </row>
    <row r="101" spans="1:15" x14ac:dyDescent="0.2">
      <c r="A101" s="7">
        <v>252120042</v>
      </c>
      <c r="B101" s="1" t="s">
        <v>216</v>
      </c>
      <c r="C101" s="1">
        <v>300</v>
      </c>
      <c r="D101" s="35">
        <v>-1051.3</v>
      </c>
      <c r="E101" s="35">
        <v>-504.4</v>
      </c>
      <c r="F101" s="35">
        <f t="shared" si="16"/>
        <v>0.4797869304670408</v>
      </c>
      <c r="G101" s="1" t="s">
        <v>217</v>
      </c>
      <c r="I101" s="7" t="s">
        <v>258</v>
      </c>
      <c r="J101" s="1" t="s">
        <v>216</v>
      </c>
      <c r="K101" s="1">
        <v>300</v>
      </c>
      <c r="L101" s="35">
        <v>-44.3</v>
      </c>
      <c r="M101" s="35">
        <v>-44.2</v>
      </c>
      <c r="N101" s="70">
        <f t="shared" si="15"/>
        <v>0.99774266365688502</v>
      </c>
      <c r="O101" s="1" t="s">
        <v>217</v>
      </c>
    </row>
    <row r="102" spans="1:15" x14ac:dyDescent="0.2">
      <c r="A102" s="7" t="s">
        <v>228</v>
      </c>
      <c r="B102" s="1" t="s">
        <v>216</v>
      </c>
      <c r="C102" s="1">
        <v>300</v>
      </c>
      <c r="D102" s="35">
        <f>-(54.6+18.7)/2</f>
        <v>-36.65</v>
      </c>
      <c r="E102" s="35">
        <f>-(45.5+17)/2</f>
        <v>-31.25</v>
      </c>
      <c r="F102" s="35">
        <f t="shared" si="16"/>
        <v>0.85266030013642569</v>
      </c>
      <c r="G102" s="1" t="s">
        <v>217</v>
      </c>
      <c r="I102" s="7">
        <v>251090012</v>
      </c>
      <c r="J102" s="1" t="s">
        <v>216</v>
      </c>
      <c r="K102" s="1">
        <v>300</v>
      </c>
      <c r="L102" s="35">
        <v>-884</v>
      </c>
      <c r="M102" s="35">
        <v>-901</v>
      </c>
      <c r="N102" s="35">
        <f t="shared" si="15"/>
        <v>1.0192307692307692</v>
      </c>
      <c r="O102" s="1" t="s">
        <v>218</v>
      </c>
    </row>
    <row r="103" spans="1:15" x14ac:dyDescent="0.2">
      <c r="A103" s="7" t="s">
        <v>229</v>
      </c>
      <c r="B103" s="1" t="s">
        <v>216</v>
      </c>
      <c r="C103" s="1">
        <v>300</v>
      </c>
      <c r="D103" s="1">
        <f>-(190.5+154.9+194.6)/3</f>
        <v>-180</v>
      </c>
      <c r="E103" s="35">
        <f>-(154.5+156.2+155.9)/3</f>
        <v>-155.53333333333333</v>
      </c>
      <c r="F103" s="35">
        <f>E103/D103</f>
        <v>0.86407407407407411</v>
      </c>
      <c r="G103" s="1" t="s">
        <v>217</v>
      </c>
      <c r="I103" s="7">
        <v>251090028</v>
      </c>
      <c r="J103" s="1" t="s">
        <v>216</v>
      </c>
      <c r="K103" s="1">
        <v>300</v>
      </c>
      <c r="L103" s="35">
        <v>-61.8</v>
      </c>
      <c r="M103" s="35">
        <v>-70.7</v>
      </c>
      <c r="N103" s="35">
        <f t="shared" si="15"/>
        <v>1.1440129449838188</v>
      </c>
      <c r="O103" s="1" t="s">
        <v>218</v>
      </c>
    </row>
    <row r="104" spans="1:15" x14ac:dyDescent="0.2">
      <c r="I104" s="7">
        <v>251100005</v>
      </c>
      <c r="J104" s="1" t="s">
        <v>216</v>
      </c>
      <c r="K104" s="1">
        <v>300</v>
      </c>
      <c r="L104" s="35">
        <v>-576.5</v>
      </c>
      <c r="M104" s="35">
        <v>-531</v>
      </c>
      <c r="N104" s="35">
        <f t="shared" si="15"/>
        <v>0.92107545533391155</v>
      </c>
      <c r="O104" s="1" t="s">
        <v>217</v>
      </c>
    </row>
    <row r="105" spans="1:15" x14ac:dyDescent="0.2">
      <c r="I105" s="7">
        <v>251160021</v>
      </c>
      <c r="J105" s="1" t="s">
        <v>216</v>
      </c>
      <c r="K105" s="1">
        <v>300</v>
      </c>
      <c r="L105" s="35">
        <v>-73.8</v>
      </c>
      <c r="M105" s="35">
        <v>-76.8</v>
      </c>
      <c r="N105" s="35">
        <f t="shared" si="15"/>
        <v>1.0406504065040652</v>
      </c>
      <c r="O105" s="1" t="s">
        <v>218</v>
      </c>
    </row>
    <row r="106" spans="1:15" x14ac:dyDescent="0.2">
      <c r="I106" s="7">
        <v>251160037</v>
      </c>
      <c r="J106" s="1" t="s">
        <v>216</v>
      </c>
      <c r="K106" s="1">
        <v>300</v>
      </c>
      <c r="L106" s="35">
        <v>-32.6</v>
      </c>
      <c r="M106" s="35">
        <v>-39.1</v>
      </c>
      <c r="N106" s="35">
        <f t="shared" si="15"/>
        <v>1.1993865030674846</v>
      </c>
      <c r="O106" s="1" t="s">
        <v>218</v>
      </c>
    </row>
    <row r="107" spans="1:15" x14ac:dyDescent="0.2">
      <c r="I107" s="7" t="s">
        <v>259</v>
      </c>
      <c r="J107" s="1" t="s">
        <v>216</v>
      </c>
      <c r="K107" s="1">
        <v>300</v>
      </c>
      <c r="L107" s="35">
        <f>-(52.3+76.9)/2</f>
        <v>-64.599999999999994</v>
      </c>
      <c r="M107" s="35">
        <f>-(51.8+82)/2</f>
        <v>-66.900000000000006</v>
      </c>
      <c r="N107" s="35">
        <f t="shared" si="15"/>
        <v>1.0356037151702788</v>
      </c>
      <c r="O107" s="1" t="s">
        <v>218</v>
      </c>
    </row>
    <row r="108" spans="1:15" x14ac:dyDescent="0.2">
      <c r="I108" s="5">
        <v>253190003</v>
      </c>
      <c r="J108" s="2" t="s">
        <v>216</v>
      </c>
      <c r="K108" s="2">
        <v>300</v>
      </c>
      <c r="L108" s="68">
        <v>10.8</v>
      </c>
      <c r="M108" s="68">
        <v>11.5</v>
      </c>
      <c r="N108" s="68">
        <f t="shared" si="15"/>
        <v>1.0648148148148147</v>
      </c>
      <c r="O108" s="2" t="s">
        <v>218</v>
      </c>
    </row>
    <row r="109" spans="1:15" x14ac:dyDescent="0.2">
      <c r="I109" s="5" t="s">
        <v>251</v>
      </c>
      <c r="J109" s="2" t="s">
        <v>216</v>
      </c>
      <c r="K109" s="2">
        <v>300</v>
      </c>
      <c r="L109" s="2">
        <f>-(57.2+156.1)/2</f>
        <v>-106.65</v>
      </c>
      <c r="M109" s="2">
        <f>-(43.3+148.6)/2</f>
        <v>-95.949999999999989</v>
      </c>
      <c r="N109" s="68">
        <f t="shared" si="15"/>
        <v>0.89967182372245647</v>
      </c>
      <c r="O109" s="2" t="s">
        <v>217</v>
      </c>
    </row>
    <row r="110" spans="1:15" x14ac:dyDescent="0.2">
      <c r="I110" s="5" t="s">
        <v>251</v>
      </c>
      <c r="J110" s="2" t="s">
        <v>216</v>
      </c>
      <c r="K110" s="2">
        <v>300</v>
      </c>
      <c r="L110" s="2">
        <v>-10069</v>
      </c>
      <c r="M110" s="2">
        <v>-10385.700000000001</v>
      </c>
      <c r="N110" s="68">
        <f t="shared" si="15"/>
        <v>1.0314529744761149</v>
      </c>
      <c r="O110" s="2" t="s">
        <v>218</v>
      </c>
    </row>
    <row r="111" spans="1:15" x14ac:dyDescent="0.2">
      <c r="I111" s="5" t="s">
        <v>260</v>
      </c>
      <c r="J111" s="2" t="s">
        <v>216</v>
      </c>
      <c r="K111" s="2">
        <v>300</v>
      </c>
      <c r="L111" s="68">
        <f>-(15.7+100.2+78.4)/3</f>
        <v>-64.766666666666666</v>
      </c>
      <c r="M111" s="2">
        <f>-(24.1+107.2+58.9)/3</f>
        <v>-63.400000000000006</v>
      </c>
      <c r="N111" s="68">
        <f t="shared" si="15"/>
        <v>0.97889861039629444</v>
      </c>
      <c r="O111" s="2" t="s">
        <v>217</v>
      </c>
    </row>
    <row r="112" spans="1:15" x14ac:dyDescent="0.2">
      <c r="I112" s="5">
        <v>254020052</v>
      </c>
      <c r="J112" s="2" t="s">
        <v>216</v>
      </c>
      <c r="K112" s="2">
        <v>300</v>
      </c>
      <c r="L112" s="2">
        <v>-112</v>
      </c>
      <c r="M112" s="2">
        <v>-106.6</v>
      </c>
      <c r="N112" s="68">
        <f t="shared" si="15"/>
        <v>0.95178571428571423</v>
      </c>
      <c r="O112" s="2" t="s">
        <v>217</v>
      </c>
    </row>
    <row r="113" spans="1:15" x14ac:dyDescent="0.2">
      <c r="I113" s="5" t="s">
        <v>261</v>
      </c>
      <c r="J113" s="2" t="s">
        <v>216</v>
      </c>
      <c r="K113" s="2">
        <v>300</v>
      </c>
      <c r="L113" s="2">
        <f>-(105.5+135.1)/2</f>
        <v>-120.3</v>
      </c>
      <c r="M113" s="2">
        <f>-(109.1+124.4)/2</f>
        <v>-116.75</v>
      </c>
      <c r="N113" s="68">
        <f t="shared" si="15"/>
        <v>0.97049044056525358</v>
      </c>
      <c r="O113" s="2" t="s">
        <v>217</v>
      </c>
    </row>
    <row r="114" spans="1:15" x14ac:dyDescent="0.2">
      <c r="I114" s="7"/>
      <c r="J114" s="1"/>
      <c r="K114" s="1"/>
      <c r="L114" s="1"/>
      <c r="M114" s="1"/>
      <c r="N114" s="35"/>
      <c r="O114" s="1"/>
    </row>
    <row r="115" spans="1:15" x14ac:dyDescent="0.2">
      <c r="I115" s="7"/>
      <c r="J115" s="1"/>
      <c r="K115" s="1"/>
      <c r="L115" s="1"/>
      <c r="M115" s="1"/>
      <c r="N115" s="1"/>
      <c r="O115" s="1"/>
    </row>
    <row r="116" spans="1:15" x14ac:dyDescent="0.2">
      <c r="A116" s="7" t="s">
        <v>0</v>
      </c>
      <c r="B116" s="1" t="s">
        <v>263</v>
      </c>
      <c r="C116" s="1"/>
      <c r="D116" s="1">
        <f>COUNT(D96:D115)</f>
        <v>8</v>
      </c>
      <c r="E116" s="1">
        <f t="shared" ref="E116:F116" si="17">COUNT(E96:E115)</f>
        <v>8</v>
      </c>
      <c r="F116" s="1">
        <f t="shared" si="17"/>
        <v>8</v>
      </c>
      <c r="G116" s="1" t="s">
        <v>215</v>
      </c>
      <c r="I116" s="7" t="s">
        <v>0</v>
      </c>
      <c r="J116" s="1" t="s">
        <v>265</v>
      </c>
      <c r="K116" s="1"/>
      <c r="L116" s="1">
        <f>COUNT(L95:L115)</f>
        <v>19</v>
      </c>
      <c r="M116" s="1">
        <f>COUNT(M95:M115)</f>
        <v>19</v>
      </c>
      <c r="N116" s="1">
        <f>COUNT(N95:N115)</f>
        <v>19</v>
      </c>
      <c r="O116" s="2" t="s">
        <v>215</v>
      </c>
    </row>
    <row r="117" spans="1:15" x14ac:dyDescent="0.2">
      <c r="A117" s="7" t="s">
        <v>1</v>
      </c>
      <c r="B117" s="1"/>
      <c r="C117" s="1"/>
      <c r="D117" s="35">
        <f>AVERAGE(D96:D115)</f>
        <v>-309.23750000000001</v>
      </c>
      <c r="E117" s="35">
        <f t="shared" ref="E117:F117" si="18">AVERAGE(E96:E115)</f>
        <v>-195.67291666666665</v>
      </c>
      <c r="F117" s="35">
        <f t="shared" si="18"/>
        <v>0.84211316214588561</v>
      </c>
      <c r="G117" s="1" t="s">
        <v>217</v>
      </c>
      <c r="I117" s="7" t="s">
        <v>1</v>
      </c>
      <c r="J117" s="1"/>
      <c r="K117" s="1"/>
      <c r="L117" s="35">
        <f>AVERAGE(L95:L115)</f>
        <v>-703.21140350877192</v>
      </c>
      <c r="M117" s="35">
        <f>AVERAGE(M95:M115)</f>
        <v>-713.0526315789474</v>
      </c>
      <c r="N117" s="35">
        <f>AVERAGE(N95:N115)</f>
        <v>0.99501203178057418</v>
      </c>
      <c r="O117" s="35" t="s">
        <v>262</v>
      </c>
    </row>
    <row r="118" spans="1:15" x14ac:dyDescent="0.2">
      <c r="A118" s="7" t="s">
        <v>2</v>
      </c>
      <c r="B118" s="1"/>
      <c r="C118" s="1"/>
      <c r="D118" s="35">
        <f>STDEV(D96:D115)</f>
        <v>423.03100253662598</v>
      </c>
      <c r="E118" s="35">
        <f t="shared" ref="E118:F118" si="19">STDEV(E96:E115)</f>
        <v>227.66269464873301</v>
      </c>
      <c r="F118" s="35">
        <f t="shared" si="19"/>
        <v>0.19099187855305405</v>
      </c>
      <c r="G118" s="1"/>
      <c r="I118" s="7" t="s">
        <v>2</v>
      </c>
      <c r="J118" s="1"/>
      <c r="K118" s="1"/>
      <c r="L118" s="35">
        <f>STDEV(L95:L115)</f>
        <v>2279.9227072807676</v>
      </c>
      <c r="M118" s="35">
        <f>STDEV(M95:M115)</f>
        <v>2353.0858134983382</v>
      </c>
      <c r="N118" s="35">
        <f>STDEV(N95:N115)</f>
        <v>0.10727301244923841</v>
      </c>
      <c r="O118" s="35"/>
    </row>
    <row r="119" spans="1:15" x14ac:dyDescent="0.2">
      <c r="A119" s="7" t="s">
        <v>3</v>
      </c>
      <c r="B119" s="1"/>
      <c r="C119" s="1"/>
      <c r="D119" s="35">
        <f>D118/SQRT(D116)</f>
        <v>149.5640452728959</v>
      </c>
      <c r="E119" s="35">
        <f t="shared" ref="E119:F119" si="20">E118/SQRT(E116)</f>
        <v>80.490917604660709</v>
      </c>
      <c r="F119" s="35">
        <f t="shared" si="20"/>
        <v>6.7525826238211017E-2</v>
      </c>
      <c r="G119" s="1"/>
      <c r="I119" s="7" t="s">
        <v>3</v>
      </c>
      <c r="J119" s="1"/>
      <c r="K119" s="1"/>
      <c r="L119" s="35">
        <f>L118/SQRT(L116)</f>
        <v>523.05014105897521</v>
      </c>
      <c r="M119" s="35">
        <f>M118/SQRT(M116)</f>
        <v>539.83490876412907</v>
      </c>
      <c r="N119" s="35">
        <f>N118/SQRT(N116)</f>
        <v>2.4610116875547938E-2</v>
      </c>
    </row>
    <row r="120" spans="1:15" x14ac:dyDescent="0.2">
      <c r="A120" s="7" t="s">
        <v>254</v>
      </c>
      <c r="G120" s="1">
        <f>1/8*100</f>
        <v>12.5</v>
      </c>
      <c r="I120" s="7" t="s">
        <v>254</v>
      </c>
      <c r="O120" s="35">
        <f>9/19*100</f>
        <v>47.368421052631575</v>
      </c>
    </row>
    <row r="121" spans="1:15" x14ac:dyDescent="0.2">
      <c r="J121" s="8" t="s">
        <v>291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172B-6A4B-4CE3-A9D3-7DF80534FC3F}">
  <dimension ref="A1:AD92"/>
  <sheetViews>
    <sheetView workbookViewId="0">
      <selection activeCell="AD17" sqref="AD17"/>
    </sheetView>
  </sheetViews>
  <sheetFormatPr baseColWidth="10" defaultColWidth="8.83203125" defaultRowHeight="16" x14ac:dyDescent="0.2"/>
  <cols>
    <col min="1" max="1" width="34.1640625" style="10" customWidth="1"/>
    <col min="2" max="26" width="6.5" style="86" customWidth="1"/>
    <col min="27" max="28" width="6.5" style="104" customWidth="1"/>
    <col min="29" max="29" width="12.6640625" style="4" customWidth="1"/>
  </cols>
  <sheetData>
    <row r="1" spans="1:30" x14ac:dyDescent="0.2">
      <c r="A1" s="16" t="s">
        <v>35</v>
      </c>
    </row>
    <row r="2" spans="1:30" x14ac:dyDescent="0.2">
      <c r="A2" s="10" t="s">
        <v>315</v>
      </c>
    </row>
    <row r="4" spans="1:30" x14ac:dyDescent="0.2">
      <c r="L4" s="12" t="s">
        <v>5</v>
      </c>
    </row>
    <row r="5" spans="1:30" x14ac:dyDescent="0.2">
      <c r="A5" s="11" t="s">
        <v>4</v>
      </c>
      <c r="B5" s="17">
        <v>1</v>
      </c>
      <c r="C5" s="17">
        <f t="shared" ref="C5:Z5" si="0">B5+1</f>
        <v>2</v>
      </c>
      <c r="D5" s="17">
        <f t="shared" si="0"/>
        <v>3</v>
      </c>
      <c r="E5" s="17">
        <f t="shared" si="0"/>
        <v>4</v>
      </c>
      <c r="F5" s="17">
        <f t="shared" si="0"/>
        <v>5</v>
      </c>
      <c r="G5" s="17">
        <f t="shared" si="0"/>
        <v>6</v>
      </c>
      <c r="H5" s="17">
        <f t="shared" si="0"/>
        <v>7</v>
      </c>
      <c r="I5" s="17">
        <f t="shared" si="0"/>
        <v>8</v>
      </c>
      <c r="J5" s="17">
        <f t="shared" si="0"/>
        <v>9</v>
      </c>
      <c r="K5" s="17">
        <f t="shared" si="0"/>
        <v>10</v>
      </c>
      <c r="L5" s="17">
        <f t="shared" si="0"/>
        <v>11</v>
      </c>
      <c r="M5" s="17">
        <f t="shared" si="0"/>
        <v>12</v>
      </c>
      <c r="N5" s="17">
        <f t="shared" si="0"/>
        <v>13</v>
      </c>
      <c r="O5" s="17">
        <f t="shared" si="0"/>
        <v>14</v>
      </c>
      <c r="P5" s="17">
        <f t="shared" si="0"/>
        <v>15</v>
      </c>
      <c r="Q5" s="17">
        <f t="shared" si="0"/>
        <v>16</v>
      </c>
      <c r="R5" s="17">
        <f t="shared" si="0"/>
        <v>17</v>
      </c>
      <c r="S5" s="17">
        <f t="shared" si="0"/>
        <v>18</v>
      </c>
      <c r="T5" s="17">
        <f t="shared" si="0"/>
        <v>19</v>
      </c>
      <c r="U5" s="17">
        <f t="shared" si="0"/>
        <v>20</v>
      </c>
      <c r="V5" s="17">
        <f t="shared" si="0"/>
        <v>21</v>
      </c>
      <c r="W5" s="17">
        <f t="shared" si="0"/>
        <v>22</v>
      </c>
      <c r="X5" s="17">
        <f t="shared" si="0"/>
        <v>23</v>
      </c>
      <c r="Y5" s="17">
        <f t="shared" si="0"/>
        <v>24</v>
      </c>
      <c r="Z5" s="17">
        <f t="shared" si="0"/>
        <v>25</v>
      </c>
      <c r="AA5" s="17"/>
      <c r="AB5" s="17"/>
      <c r="AC5" s="1"/>
    </row>
    <row r="6" spans="1:30" x14ac:dyDescent="0.2">
      <c r="A6" s="12" t="s">
        <v>314</v>
      </c>
      <c r="B6" s="17">
        <v>-60</v>
      </c>
      <c r="C6" s="17">
        <f t="shared" ref="C6:Z6" si="1">B6+10</f>
        <v>-50</v>
      </c>
      <c r="D6" s="17">
        <f t="shared" si="1"/>
        <v>-40</v>
      </c>
      <c r="E6" s="17">
        <f t="shared" si="1"/>
        <v>-30</v>
      </c>
      <c r="F6" s="17">
        <f t="shared" si="1"/>
        <v>-20</v>
      </c>
      <c r="G6" s="17">
        <f t="shared" si="1"/>
        <v>-10</v>
      </c>
      <c r="H6" s="17">
        <f t="shared" si="1"/>
        <v>0</v>
      </c>
      <c r="I6" s="17">
        <f t="shared" si="1"/>
        <v>10</v>
      </c>
      <c r="J6" s="17">
        <f t="shared" si="1"/>
        <v>20</v>
      </c>
      <c r="K6" s="17">
        <f t="shared" si="1"/>
        <v>30</v>
      </c>
      <c r="L6" s="17">
        <f t="shared" si="1"/>
        <v>40</v>
      </c>
      <c r="M6" s="17">
        <f t="shared" si="1"/>
        <v>50</v>
      </c>
      <c r="N6" s="17">
        <f t="shared" si="1"/>
        <v>60</v>
      </c>
      <c r="O6" s="17">
        <f t="shared" si="1"/>
        <v>70</v>
      </c>
      <c r="P6" s="17">
        <f t="shared" si="1"/>
        <v>80</v>
      </c>
      <c r="Q6" s="17">
        <f t="shared" si="1"/>
        <v>90</v>
      </c>
      <c r="R6" s="17">
        <f t="shared" si="1"/>
        <v>100</v>
      </c>
      <c r="S6" s="17">
        <f t="shared" si="1"/>
        <v>110</v>
      </c>
      <c r="T6" s="17">
        <f t="shared" si="1"/>
        <v>120</v>
      </c>
      <c r="U6" s="17">
        <f t="shared" si="1"/>
        <v>130</v>
      </c>
      <c r="V6" s="17">
        <f t="shared" si="1"/>
        <v>140</v>
      </c>
      <c r="W6" s="17">
        <f t="shared" si="1"/>
        <v>150</v>
      </c>
      <c r="X6" s="17">
        <f t="shared" si="1"/>
        <v>160</v>
      </c>
      <c r="Y6" s="17">
        <f t="shared" si="1"/>
        <v>170</v>
      </c>
      <c r="Z6" s="17">
        <f t="shared" si="1"/>
        <v>180</v>
      </c>
      <c r="AA6" s="17"/>
      <c r="AB6" s="17"/>
      <c r="AC6" s="2"/>
    </row>
    <row r="7" spans="1:30" x14ac:dyDescent="0.2">
      <c r="A7" s="13">
        <v>132150038</v>
      </c>
      <c r="B7" s="17">
        <v>85</v>
      </c>
      <c r="C7" s="17"/>
      <c r="D7" s="17">
        <v>86</v>
      </c>
      <c r="E7" s="17"/>
      <c r="F7" s="17">
        <v>84</v>
      </c>
      <c r="G7" s="17"/>
      <c r="H7" s="17">
        <v>90</v>
      </c>
      <c r="I7" s="17"/>
      <c r="J7" s="17">
        <v>87</v>
      </c>
      <c r="K7" s="17"/>
      <c r="L7" s="17">
        <v>89</v>
      </c>
      <c r="M7" s="17"/>
      <c r="N7" s="17">
        <v>93</v>
      </c>
      <c r="O7" s="17"/>
      <c r="P7" s="17">
        <v>96</v>
      </c>
      <c r="Q7" s="17"/>
      <c r="R7" s="17">
        <v>102</v>
      </c>
      <c r="S7" s="17"/>
      <c r="T7" s="17">
        <v>104</v>
      </c>
      <c r="U7" s="17"/>
      <c r="V7" s="17">
        <v>105</v>
      </c>
      <c r="W7" s="17"/>
      <c r="X7" s="17">
        <v>106</v>
      </c>
      <c r="Y7" s="17"/>
      <c r="Z7" s="17">
        <v>116</v>
      </c>
      <c r="AA7" s="17"/>
      <c r="AB7" s="17"/>
      <c r="AC7" s="7"/>
      <c r="AD7" s="56"/>
    </row>
    <row r="8" spans="1:30" x14ac:dyDescent="0.2">
      <c r="A8" s="13">
        <v>133130002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1</v>
      </c>
      <c r="M8" s="17"/>
      <c r="N8" s="17">
        <v>4</v>
      </c>
      <c r="O8" s="17"/>
      <c r="P8" s="17">
        <v>9</v>
      </c>
      <c r="Q8" s="17"/>
      <c r="R8" s="17">
        <v>12</v>
      </c>
      <c r="S8" s="104"/>
      <c r="T8" s="17">
        <v>65</v>
      </c>
      <c r="U8" s="104"/>
      <c r="V8" s="17">
        <v>85</v>
      </c>
      <c r="W8" s="17"/>
      <c r="X8" s="17">
        <v>91</v>
      </c>
      <c r="Y8" s="17"/>
      <c r="Z8" s="17">
        <v>59</v>
      </c>
      <c r="AA8" s="17"/>
      <c r="AB8" s="17"/>
      <c r="AC8" s="7"/>
      <c r="AD8" s="56"/>
    </row>
    <row r="9" spans="1:30" x14ac:dyDescent="0.2">
      <c r="A9" s="13">
        <v>134010003</v>
      </c>
      <c r="B9" s="17">
        <v>37</v>
      </c>
      <c r="C9" s="17"/>
      <c r="D9" s="17">
        <v>43</v>
      </c>
      <c r="E9" s="17"/>
      <c r="F9" s="17">
        <v>49</v>
      </c>
      <c r="G9" s="17"/>
      <c r="H9" s="17">
        <v>55</v>
      </c>
      <c r="I9" s="17"/>
      <c r="J9" s="17">
        <v>62</v>
      </c>
      <c r="K9" s="17"/>
      <c r="L9" s="17">
        <v>68</v>
      </c>
      <c r="M9" s="17"/>
      <c r="N9" s="17">
        <v>73</v>
      </c>
      <c r="O9" s="17"/>
      <c r="P9" s="17">
        <v>78</v>
      </c>
      <c r="Q9" s="17"/>
      <c r="R9" s="17">
        <v>65</v>
      </c>
      <c r="S9" s="17"/>
      <c r="T9" s="17">
        <v>75</v>
      </c>
      <c r="U9" s="17"/>
      <c r="V9" s="17">
        <v>77</v>
      </c>
      <c r="W9" s="17"/>
      <c r="X9" s="17">
        <v>68</v>
      </c>
      <c r="Y9" s="17"/>
      <c r="Z9" s="17">
        <v>44</v>
      </c>
      <c r="AA9" s="17"/>
      <c r="AB9" s="17"/>
      <c r="AC9" s="7"/>
      <c r="AD9" s="56"/>
    </row>
    <row r="10" spans="1:30" x14ac:dyDescent="0.2">
      <c r="A10" s="13" t="s">
        <v>15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2</v>
      </c>
      <c r="H10" s="17">
        <v>8</v>
      </c>
      <c r="I10" s="17">
        <v>15</v>
      </c>
      <c r="J10" s="17">
        <v>19</v>
      </c>
      <c r="K10" s="17">
        <v>27</v>
      </c>
      <c r="L10" s="17">
        <v>31</v>
      </c>
      <c r="M10" s="17">
        <v>34</v>
      </c>
      <c r="N10" s="17">
        <v>37</v>
      </c>
      <c r="O10" s="17">
        <v>39</v>
      </c>
      <c r="P10" s="17">
        <v>39</v>
      </c>
      <c r="Q10" s="17">
        <v>42</v>
      </c>
      <c r="R10" s="17">
        <v>41</v>
      </c>
      <c r="S10" s="17">
        <v>47</v>
      </c>
      <c r="T10" s="17">
        <v>48</v>
      </c>
      <c r="U10" s="17">
        <v>50</v>
      </c>
      <c r="V10" s="17">
        <v>52</v>
      </c>
      <c r="W10" s="17">
        <v>51</v>
      </c>
      <c r="X10" s="17">
        <v>46</v>
      </c>
      <c r="Y10" s="17">
        <v>34</v>
      </c>
      <c r="Z10" s="17">
        <v>13</v>
      </c>
      <c r="AA10" s="17"/>
      <c r="AB10" s="17"/>
      <c r="AC10" s="7"/>
      <c r="AD10" s="56"/>
    </row>
    <row r="11" spans="1:30" x14ac:dyDescent="0.2">
      <c r="A11" s="13" t="s">
        <v>16</v>
      </c>
      <c r="B11" s="17">
        <v>0</v>
      </c>
      <c r="C11" s="17">
        <v>0</v>
      </c>
      <c r="D11" s="17">
        <v>0</v>
      </c>
      <c r="E11" s="17">
        <v>1</v>
      </c>
      <c r="F11" s="17">
        <v>1</v>
      </c>
      <c r="G11" s="17">
        <v>23</v>
      </c>
      <c r="H11" s="17">
        <v>33</v>
      </c>
      <c r="I11" s="17">
        <v>36</v>
      </c>
      <c r="J11" s="17">
        <v>43</v>
      </c>
      <c r="K11" s="17">
        <v>51</v>
      </c>
      <c r="L11" s="17">
        <v>17</v>
      </c>
      <c r="M11" s="17">
        <v>5</v>
      </c>
      <c r="N11" s="17">
        <v>4</v>
      </c>
      <c r="O11" s="17">
        <v>3</v>
      </c>
      <c r="P11" s="17">
        <v>5</v>
      </c>
      <c r="Q11" s="17">
        <v>8</v>
      </c>
      <c r="R11" s="17">
        <v>5</v>
      </c>
      <c r="S11" s="17">
        <v>2</v>
      </c>
      <c r="T11" s="17">
        <v>5</v>
      </c>
      <c r="U11" s="17">
        <v>4</v>
      </c>
      <c r="V11" s="17">
        <v>4</v>
      </c>
      <c r="W11" s="17">
        <v>5</v>
      </c>
      <c r="X11" s="17">
        <v>5</v>
      </c>
      <c r="Y11" s="17">
        <v>4</v>
      </c>
      <c r="Z11" s="17">
        <v>3</v>
      </c>
      <c r="AA11" s="17"/>
      <c r="AB11" s="17"/>
      <c r="AC11" s="7"/>
      <c r="AD11" s="56"/>
    </row>
    <row r="12" spans="1:30" x14ac:dyDescent="0.2">
      <c r="A12" s="13" t="s">
        <v>17</v>
      </c>
      <c r="B12" s="17">
        <v>36</v>
      </c>
      <c r="C12" s="17">
        <v>42</v>
      </c>
      <c r="D12" s="17">
        <v>47</v>
      </c>
      <c r="E12" s="17">
        <v>53</v>
      </c>
      <c r="F12" s="17">
        <v>56</v>
      </c>
      <c r="G12" s="17">
        <v>60</v>
      </c>
      <c r="H12" s="17">
        <v>64</v>
      </c>
      <c r="I12" s="17">
        <v>68</v>
      </c>
      <c r="J12" s="17">
        <v>70</v>
      </c>
      <c r="K12" s="17">
        <v>75</v>
      </c>
      <c r="L12" s="17">
        <v>76</v>
      </c>
      <c r="M12" s="17">
        <v>78</v>
      </c>
      <c r="N12" s="17">
        <v>82</v>
      </c>
      <c r="O12" s="17">
        <v>82</v>
      </c>
      <c r="P12" s="17">
        <v>84</v>
      </c>
      <c r="Q12" s="17">
        <v>86</v>
      </c>
      <c r="R12" s="17">
        <v>87</v>
      </c>
      <c r="S12" s="17">
        <v>90</v>
      </c>
      <c r="T12" s="17">
        <v>92</v>
      </c>
      <c r="U12" s="17"/>
      <c r="V12" s="17"/>
      <c r="W12" s="17"/>
      <c r="X12" s="17"/>
      <c r="Y12" s="17"/>
      <c r="Z12" s="17"/>
      <c r="AA12" s="17"/>
      <c r="AB12" s="17"/>
      <c r="AC12" s="7"/>
      <c r="AD12" s="56"/>
    </row>
    <row r="13" spans="1:30" x14ac:dyDescent="0.2">
      <c r="A13" s="13" t="s">
        <v>19</v>
      </c>
      <c r="B13" s="17">
        <v>32</v>
      </c>
      <c r="C13" s="17">
        <v>36</v>
      </c>
      <c r="D13" s="17">
        <v>41</v>
      </c>
      <c r="E13" s="17">
        <v>45</v>
      </c>
      <c r="F13" s="17">
        <v>49</v>
      </c>
      <c r="G13" s="17">
        <v>53</v>
      </c>
      <c r="H13" s="17">
        <v>56</v>
      </c>
      <c r="I13" s="17">
        <v>59</v>
      </c>
      <c r="J13" s="17">
        <v>60</v>
      </c>
      <c r="K13" s="17">
        <v>62</v>
      </c>
      <c r="L13" s="17">
        <v>64</v>
      </c>
      <c r="M13" s="17">
        <v>68</v>
      </c>
      <c r="N13" s="17">
        <v>68</v>
      </c>
      <c r="O13" s="17">
        <v>70</v>
      </c>
      <c r="P13" s="17">
        <v>71</v>
      </c>
      <c r="Q13" s="17">
        <v>73</v>
      </c>
      <c r="R13" s="17">
        <v>75</v>
      </c>
      <c r="S13" s="17">
        <v>77</v>
      </c>
      <c r="T13" s="17">
        <v>40</v>
      </c>
      <c r="U13" s="17"/>
      <c r="V13" s="17"/>
      <c r="W13" s="17"/>
      <c r="X13" s="17"/>
      <c r="Y13" s="17"/>
      <c r="Z13" s="17"/>
      <c r="AA13" s="17"/>
      <c r="AB13" s="17"/>
      <c r="AC13" s="7"/>
      <c r="AD13" s="56"/>
    </row>
    <row r="14" spans="1:30" x14ac:dyDescent="0.2">
      <c r="A14" s="13" t="s">
        <v>20</v>
      </c>
      <c r="B14" s="17">
        <v>0</v>
      </c>
      <c r="C14" s="17">
        <v>0</v>
      </c>
      <c r="D14" s="17">
        <v>0</v>
      </c>
      <c r="E14" s="17">
        <v>0</v>
      </c>
      <c r="F14" s="17">
        <v>18</v>
      </c>
      <c r="G14" s="17">
        <v>31</v>
      </c>
      <c r="H14" s="17">
        <v>45</v>
      </c>
      <c r="I14" s="17">
        <v>52</v>
      </c>
      <c r="J14" s="17">
        <v>63</v>
      </c>
      <c r="K14" s="17">
        <v>69</v>
      </c>
      <c r="L14" s="17">
        <v>76</v>
      </c>
      <c r="M14" s="17">
        <v>78</v>
      </c>
      <c r="N14" s="17">
        <v>86</v>
      </c>
      <c r="O14" s="17">
        <v>99</v>
      </c>
      <c r="P14" s="17">
        <v>61</v>
      </c>
      <c r="Q14" s="17"/>
      <c r="R14" s="17"/>
      <c r="S14" s="17"/>
      <c r="T14" s="17">
        <v>18</v>
      </c>
      <c r="U14" s="17"/>
      <c r="V14" s="17">
        <v>22</v>
      </c>
      <c r="W14" s="17">
        <v>35</v>
      </c>
      <c r="X14" s="17"/>
      <c r="Y14" s="17">
        <v>15</v>
      </c>
      <c r="Z14" s="17"/>
      <c r="AA14" s="17"/>
      <c r="AB14" s="17"/>
      <c r="AC14" s="7"/>
      <c r="AD14" s="56"/>
    </row>
    <row r="15" spans="1:30" x14ac:dyDescent="0.2">
      <c r="A15" s="13">
        <v>172230007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3</v>
      </c>
      <c r="M15" s="17">
        <v>25</v>
      </c>
      <c r="N15" s="17">
        <v>39</v>
      </c>
      <c r="O15" s="17">
        <v>64</v>
      </c>
      <c r="P15" s="17">
        <v>65</v>
      </c>
      <c r="Q15" s="17">
        <v>74</v>
      </c>
      <c r="R15" s="17">
        <v>81</v>
      </c>
      <c r="S15" s="17">
        <v>98</v>
      </c>
      <c r="T15" s="17">
        <v>101</v>
      </c>
      <c r="U15" s="17">
        <v>72</v>
      </c>
      <c r="V15" s="17">
        <v>54</v>
      </c>
      <c r="W15" s="17">
        <v>28</v>
      </c>
      <c r="X15" s="17">
        <v>31</v>
      </c>
      <c r="Y15" s="17">
        <v>25</v>
      </c>
      <c r="Z15" s="17">
        <v>18</v>
      </c>
      <c r="AA15" s="17"/>
      <c r="AB15" s="17"/>
      <c r="AC15" s="7"/>
      <c r="AD15" s="56"/>
    </row>
    <row r="16" spans="1:30" x14ac:dyDescent="0.2">
      <c r="A16" s="13">
        <v>172240035</v>
      </c>
      <c r="B16" s="17">
        <v>0</v>
      </c>
      <c r="C16" s="17">
        <v>1</v>
      </c>
      <c r="D16" s="17">
        <v>13</v>
      </c>
      <c r="E16" s="17">
        <v>18</v>
      </c>
      <c r="F16" s="17">
        <v>26</v>
      </c>
      <c r="G16" s="17">
        <v>30</v>
      </c>
      <c r="H16" s="17">
        <v>33</v>
      </c>
      <c r="I16" s="17">
        <v>39</v>
      </c>
      <c r="J16" s="17">
        <v>46</v>
      </c>
      <c r="K16" s="17">
        <v>44</v>
      </c>
      <c r="L16" s="17">
        <v>44</v>
      </c>
      <c r="M16" s="17">
        <v>48</v>
      </c>
      <c r="N16" s="17">
        <v>52</v>
      </c>
      <c r="O16" s="17">
        <v>56</v>
      </c>
      <c r="P16" s="17">
        <v>57</v>
      </c>
      <c r="Q16" s="17">
        <v>64</v>
      </c>
      <c r="R16" s="17">
        <v>70</v>
      </c>
      <c r="S16" s="17">
        <v>72</v>
      </c>
      <c r="T16" s="17">
        <v>76</v>
      </c>
      <c r="U16" s="17">
        <v>81</v>
      </c>
      <c r="V16" s="17">
        <v>84</v>
      </c>
      <c r="W16" s="17">
        <v>89</v>
      </c>
      <c r="X16" s="17">
        <v>92</v>
      </c>
      <c r="Y16" s="17">
        <v>98</v>
      </c>
      <c r="Z16" s="17">
        <v>56</v>
      </c>
      <c r="AA16" s="17"/>
      <c r="AB16" s="17"/>
      <c r="AC16" s="7"/>
      <c r="AD16" s="56"/>
    </row>
    <row r="17" spans="1:30" x14ac:dyDescent="0.2">
      <c r="A17" s="13" t="s">
        <v>21</v>
      </c>
      <c r="B17" s="17">
        <v>1</v>
      </c>
      <c r="C17" s="17">
        <v>1</v>
      </c>
      <c r="D17" s="17">
        <v>15</v>
      </c>
      <c r="E17" s="17">
        <v>19</v>
      </c>
      <c r="F17" s="17">
        <v>24</v>
      </c>
      <c r="G17" s="17">
        <v>31</v>
      </c>
      <c r="H17" s="17">
        <v>29</v>
      </c>
      <c r="I17" s="17">
        <v>36</v>
      </c>
      <c r="J17" s="17">
        <v>36</v>
      </c>
      <c r="K17" s="17">
        <v>42</v>
      </c>
      <c r="L17" s="17">
        <v>46</v>
      </c>
      <c r="M17" s="17">
        <v>43</v>
      </c>
      <c r="N17" s="17">
        <v>46</v>
      </c>
      <c r="O17" s="17">
        <v>46</v>
      </c>
      <c r="P17" s="17">
        <v>47</v>
      </c>
      <c r="Q17" s="17">
        <v>49</v>
      </c>
      <c r="R17" s="17">
        <v>49</v>
      </c>
      <c r="S17" s="17">
        <v>50</v>
      </c>
      <c r="T17" s="17">
        <v>50</v>
      </c>
      <c r="U17" s="17">
        <v>52</v>
      </c>
      <c r="V17" s="17">
        <v>52</v>
      </c>
      <c r="W17" s="17">
        <v>51</v>
      </c>
      <c r="X17" s="17">
        <v>57</v>
      </c>
      <c r="Y17" s="17">
        <v>62</v>
      </c>
      <c r="Z17" s="17">
        <v>65</v>
      </c>
      <c r="AA17" s="17"/>
      <c r="AB17" s="17"/>
      <c r="AC17" s="7"/>
      <c r="AD17" s="56"/>
    </row>
    <row r="18" spans="1:30" x14ac:dyDescent="0.2">
      <c r="A18" s="13" t="s">
        <v>22</v>
      </c>
      <c r="B18" s="17">
        <v>0</v>
      </c>
      <c r="C18" s="17">
        <v>1</v>
      </c>
      <c r="D18" s="17">
        <v>7</v>
      </c>
      <c r="E18" s="17">
        <v>28</v>
      </c>
      <c r="F18" s="17">
        <v>35</v>
      </c>
      <c r="G18" s="17">
        <v>48</v>
      </c>
      <c r="H18" s="17">
        <v>52</v>
      </c>
      <c r="I18" s="17">
        <v>52</v>
      </c>
      <c r="J18" s="17">
        <v>53</v>
      </c>
      <c r="K18" s="17">
        <v>57</v>
      </c>
      <c r="L18" s="17">
        <v>56</v>
      </c>
      <c r="M18" s="17">
        <v>59</v>
      </c>
      <c r="N18" s="17">
        <v>59</v>
      </c>
      <c r="O18" s="17">
        <v>52</v>
      </c>
      <c r="P18" s="17">
        <v>56</v>
      </c>
      <c r="Q18" s="17">
        <v>66</v>
      </c>
      <c r="R18" s="17">
        <v>79</v>
      </c>
      <c r="S18" s="17">
        <v>69</v>
      </c>
      <c r="T18" s="17">
        <v>81</v>
      </c>
      <c r="U18" s="17">
        <v>71</v>
      </c>
      <c r="V18" s="17">
        <v>75</v>
      </c>
      <c r="W18" s="17">
        <v>78</v>
      </c>
      <c r="X18" s="17">
        <v>63</v>
      </c>
      <c r="Y18" s="17">
        <v>74</v>
      </c>
      <c r="Z18" s="17">
        <v>73</v>
      </c>
      <c r="AA18" s="17"/>
      <c r="AB18" s="17"/>
      <c r="AC18" s="7"/>
      <c r="AD18" s="56"/>
    </row>
    <row r="19" spans="1:30" x14ac:dyDescent="0.2">
      <c r="A19" s="13">
        <v>191290025</v>
      </c>
      <c r="B19" s="17">
        <v>2</v>
      </c>
      <c r="C19" s="17">
        <v>12</v>
      </c>
      <c r="D19" s="17">
        <v>25</v>
      </c>
      <c r="E19" s="17">
        <v>40</v>
      </c>
      <c r="F19" s="17">
        <v>47</v>
      </c>
      <c r="G19" s="17">
        <v>45</v>
      </c>
      <c r="H19" s="17">
        <v>52</v>
      </c>
      <c r="I19" s="17">
        <v>49</v>
      </c>
      <c r="J19" s="17">
        <v>48</v>
      </c>
      <c r="K19" s="17">
        <v>61</v>
      </c>
      <c r="L19" s="17">
        <v>58</v>
      </c>
      <c r="M19" s="17">
        <v>56</v>
      </c>
      <c r="N19" s="17">
        <v>64</v>
      </c>
      <c r="O19" s="17">
        <v>67</v>
      </c>
      <c r="P19" s="17">
        <v>66</v>
      </c>
      <c r="Q19" s="17">
        <v>64</v>
      </c>
      <c r="R19" s="17">
        <v>66</v>
      </c>
      <c r="S19" s="17">
        <v>79</v>
      </c>
      <c r="T19" s="17">
        <v>76</v>
      </c>
      <c r="U19" s="17">
        <v>74</v>
      </c>
      <c r="V19" s="17">
        <v>76</v>
      </c>
      <c r="W19" s="17">
        <v>80</v>
      </c>
      <c r="X19" s="17">
        <v>83</v>
      </c>
      <c r="Y19" s="17">
        <v>83</v>
      </c>
      <c r="Z19" s="17">
        <v>86</v>
      </c>
      <c r="AA19" s="17"/>
      <c r="AB19" s="17"/>
      <c r="AC19" s="7"/>
      <c r="AD19" s="56"/>
    </row>
    <row r="20" spans="1:30" x14ac:dyDescent="0.2">
      <c r="A20" s="13">
        <v>192250020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4</v>
      </c>
      <c r="I20" s="17">
        <v>9</v>
      </c>
      <c r="J20" s="17">
        <v>12</v>
      </c>
      <c r="K20" s="17">
        <v>14</v>
      </c>
      <c r="L20" s="17">
        <v>15</v>
      </c>
      <c r="M20" s="17">
        <v>19</v>
      </c>
      <c r="N20" s="17">
        <v>21</v>
      </c>
      <c r="O20" s="17">
        <v>25</v>
      </c>
      <c r="P20" s="17">
        <v>27</v>
      </c>
      <c r="Q20" s="17">
        <v>27</v>
      </c>
      <c r="R20" s="17">
        <v>31</v>
      </c>
      <c r="S20" s="17">
        <v>32</v>
      </c>
      <c r="T20" s="17">
        <v>34</v>
      </c>
      <c r="U20" s="17">
        <v>35</v>
      </c>
      <c r="V20" s="17">
        <v>37</v>
      </c>
      <c r="W20" s="17">
        <v>38</v>
      </c>
      <c r="X20" s="17">
        <v>39</v>
      </c>
      <c r="Y20" s="17">
        <v>40</v>
      </c>
      <c r="Z20" s="17">
        <v>42</v>
      </c>
      <c r="AA20" s="17"/>
      <c r="AB20" s="17"/>
      <c r="AC20" s="7"/>
      <c r="AD20" s="56"/>
    </row>
    <row r="21" spans="1:30" x14ac:dyDescent="0.2">
      <c r="A21" s="13">
        <v>192250038</v>
      </c>
      <c r="B21" s="17">
        <v>40</v>
      </c>
      <c r="C21" s="17">
        <v>45</v>
      </c>
      <c r="D21" s="17">
        <v>50</v>
      </c>
      <c r="E21" s="17">
        <v>54</v>
      </c>
      <c r="F21" s="17">
        <v>59</v>
      </c>
      <c r="G21" s="17">
        <v>62</v>
      </c>
      <c r="H21" s="17">
        <v>65</v>
      </c>
      <c r="I21" s="17">
        <v>67</v>
      </c>
      <c r="J21" s="17">
        <v>72</v>
      </c>
      <c r="K21" s="17">
        <v>73</v>
      </c>
      <c r="L21" s="17">
        <v>76</v>
      </c>
      <c r="M21" s="17">
        <v>77</v>
      </c>
      <c r="N21" s="17">
        <v>82</v>
      </c>
      <c r="O21" s="17">
        <v>87</v>
      </c>
      <c r="P21" s="17">
        <v>87</v>
      </c>
      <c r="Q21" s="17">
        <v>90</v>
      </c>
      <c r="R21" s="17">
        <v>93</v>
      </c>
      <c r="S21" s="17">
        <v>94</v>
      </c>
      <c r="T21" s="17">
        <v>97</v>
      </c>
      <c r="U21" s="17">
        <v>99</v>
      </c>
      <c r="V21" s="17">
        <v>78</v>
      </c>
      <c r="W21" s="17"/>
      <c r="X21" s="17"/>
      <c r="Y21" s="17"/>
      <c r="Z21" s="17"/>
      <c r="AA21" s="17"/>
      <c r="AB21" s="17"/>
      <c r="AC21" s="7"/>
      <c r="AD21" s="56"/>
    </row>
    <row r="22" spans="1:30" x14ac:dyDescent="0.2">
      <c r="A22" s="13">
        <v>193020012</v>
      </c>
      <c r="B22" s="17">
        <v>0</v>
      </c>
      <c r="C22" s="17">
        <v>3</v>
      </c>
      <c r="D22" s="17">
        <v>13</v>
      </c>
      <c r="E22" s="17">
        <v>29</v>
      </c>
      <c r="F22" s="17">
        <v>38</v>
      </c>
      <c r="G22" s="17">
        <v>44</v>
      </c>
      <c r="H22" s="17">
        <v>49</v>
      </c>
      <c r="I22" s="17">
        <v>55</v>
      </c>
      <c r="J22" s="17">
        <v>60</v>
      </c>
      <c r="K22" s="17">
        <v>64</v>
      </c>
      <c r="L22" s="17">
        <v>67</v>
      </c>
      <c r="M22" s="17">
        <v>69</v>
      </c>
      <c r="N22" s="17">
        <v>75</v>
      </c>
      <c r="O22" s="17">
        <v>78</v>
      </c>
      <c r="P22" s="17">
        <v>81</v>
      </c>
      <c r="Q22" s="17">
        <v>83</v>
      </c>
      <c r="R22" s="17">
        <v>87</v>
      </c>
      <c r="S22" s="17">
        <v>90</v>
      </c>
      <c r="T22" s="17">
        <v>92</v>
      </c>
      <c r="U22" s="17">
        <v>93</v>
      </c>
      <c r="V22" s="17">
        <v>98</v>
      </c>
      <c r="W22" s="17">
        <v>99</v>
      </c>
      <c r="X22" s="17"/>
      <c r="Y22" s="17"/>
      <c r="Z22" s="17"/>
      <c r="AA22" s="17"/>
      <c r="AB22" s="17"/>
      <c r="AC22" s="7"/>
      <c r="AD22" s="56"/>
    </row>
    <row r="23" spans="1:30" x14ac:dyDescent="0.2">
      <c r="A23" s="13">
        <v>193020020</v>
      </c>
      <c r="B23" s="17"/>
      <c r="C23" s="17">
        <v>21</v>
      </c>
      <c r="D23" s="17">
        <v>31</v>
      </c>
      <c r="E23" s="17">
        <v>34</v>
      </c>
      <c r="F23" s="17">
        <v>37</v>
      </c>
      <c r="G23" s="17">
        <v>38</v>
      </c>
      <c r="H23" s="17">
        <v>44</v>
      </c>
      <c r="I23" s="17">
        <v>46</v>
      </c>
      <c r="J23" s="17">
        <v>48</v>
      </c>
      <c r="K23" s="17">
        <v>50</v>
      </c>
      <c r="L23" s="17">
        <v>54</v>
      </c>
      <c r="M23" s="17">
        <v>54</v>
      </c>
      <c r="N23" s="17">
        <v>55</v>
      </c>
      <c r="O23" s="17">
        <v>56</v>
      </c>
      <c r="P23" s="17">
        <v>61</v>
      </c>
      <c r="Q23" s="17">
        <v>40</v>
      </c>
      <c r="R23" s="17"/>
      <c r="S23" s="17"/>
      <c r="T23" s="17"/>
      <c r="U23" s="17"/>
      <c r="V23" s="17"/>
      <c r="W23" s="17"/>
      <c r="X23" s="17">
        <v>46</v>
      </c>
      <c r="Y23" s="17"/>
      <c r="Z23" s="17"/>
      <c r="AA23" s="17"/>
      <c r="AB23" s="17"/>
      <c r="AC23" s="7"/>
      <c r="AD23" s="56"/>
    </row>
    <row r="24" spans="1:30" x14ac:dyDescent="0.2">
      <c r="A24" s="13">
        <v>198130073</v>
      </c>
      <c r="B24" s="17">
        <v>28</v>
      </c>
      <c r="C24" s="17">
        <v>30</v>
      </c>
      <c r="D24" s="17">
        <v>33</v>
      </c>
      <c r="E24" s="17">
        <v>35</v>
      </c>
      <c r="F24" s="17">
        <v>42</v>
      </c>
      <c r="G24" s="17">
        <v>41</v>
      </c>
      <c r="H24" s="17">
        <v>44</v>
      </c>
      <c r="I24" s="17">
        <v>46</v>
      </c>
      <c r="J24" s="17">
        <v>51</v>
      </c>
      <c r="K24" s="17">
        <v>52</v>
      </c>
      <c r="L24" s="17">
        <v>51</v>
      </c>
      <c r="M24" s="17">
        <v>56</v>
      </c>
      <c r="N24" s="17">
        <v>57</v>
      </c>
      <c r="O24" s="17">
        <v>59</v>
      </c>
      <c r="P24" s="17">
        <v>63</v>
      </c>
      <c r="Q24" s="17">
        <v>62</v>
      </c>
      <c r="R24" s="17">
        <v>56</v>
      </c>
      <c r="S24" s="17">
        <v>59</v>
      </c>
      <c r="T24" s="17">
        <v>68</v>
      </c>
      <c r="U24" s="17">
        <v>76</v>
      </c>
      <c r="V24" s="17">
        <v>66</v>
      </c>
      <c r="W24" s="17">
        <v>82</v>
      </c>
      <c r="X24" s="17">
        <v>66</v>
      </c>
      <c r="Y24" s="17">
        <v>24</v>
      </c>
      <c r="Z24" s="17">
        <v>20</v>
      </c>
      <c r="AA24" s="17"/>
      <c r="AB24" s="17"/>
      <c r="AC24" s="7"/>
      <c r="AD24" s="56"/>
    </row>
    <row r="25" spans="1:30" x14ac:dyDescent="0.2">
      <c r="A25" s="13">
        <v>201160009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2</v>
      </c>
      <c r="H25" s="17">
        <v>9</v>
      </c>
      <c r="I25" s="17">
        <v>16</v>
      </c>
      <c r="J25" s="17">
        <v>21</v>
      </c>
      <c r="K25" s="17">
        <v>26</v>
      </c>
      <c r="L25" s="17">
        <v>30</v>
      </c>
      <c r="M25" s="17">
        <v>35</v>
      </c>
      <c r="N25" s="17">
        <v>39</v>
      </c>
      <c r="O25" s="17">
        <v>43</v>
      </c>
      <c r="P25" s="17">
        <v>47</v>
      </c>
      <c r="Q25" s="17">
        <v>51</v>
      </c>
      <c r="R25" s="17">
        <v>54</v>
      </c>
      <c r="S25" s="17">
        <v>56</v>
      </c>
      <c r="T25" s="17">
        <v>60</v>
      </c>
      <c r="U25" s="17">
        <v>62</v>
      </c>
      <c r="V25" s="17">
        <v>64</v>
      </c>
      <c r="W25" s="17">
        <v>67</v>
      </c>
      <c r="X25" s="17">
        <v>70</v>
      </c>
      <c r="Y25" s="17">
        <v>74</v>
      </c>
      <c r="Z25" s="17">
        <v>75</v>
      </c>
      <c r="AA25" s="17"/>
      <c r="AB25" s="17"/>
      <c r="AC25" s="7"/>
      <c r="AD25" s="56"/>
    </row>
    <row r="26" spans="1:30" x14ac:dyDescent="0.2">
      <c r="A26" s="13">
        <v>201160021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9</v>
      </c>
      <c r="H26" s="17">
        <v>16</v>
      </c>
      <c r="I26" s="17">
        <v>23</v>
      </c>
      <c r="J26" s="17">
        <v>25</v>
      </c>
      <c r="K26" s="17">
        <v>38</v>
      </c>
      <c r="L26" s="17">
        <v>43</v>
      </c>
      <c r="M26" s="17">
        <v>47</v>
      </c>
      <c r="N26" s="17">
        <v>53</v>
      </c>
      <c r="O26" s="17">
        <v>58</v>
      </c>
      <c r="P26" s="17">
        <v>62</v>
      </c>
      <c r="Q26" s="17">
        <v>66</v>
      </c>
      <c r="R26" s="17">
        <v>69</v>
      </c>
      <c r="S26" s="17">
        <v>75</v>
      </c>
      <c r="T26" s="17">
        <v>81</v>
      </c>
      <c r="U26" s="17">
        <v>86</v>
      </c>
      <c r="V26" s="17">
        <v>88</v>
      </c>
      <c r="W26" s="17">
        <v>72</v>
      </c>
      <c r="X26" s="17">
        <v>58</v>
      </c>
      <c r="Y26" s="17">
        <v>33</v>
      </c>
      <c r="Z26" s="17">
        <v>27</v>
      </c>
      <c r="AA26" s="17"/>
      <c r="AB26" s="17"/>
      <c r="AC26" s="7"/>
      <c r="AD26" s="56"/>
    </row>
    <row r="27" spans="1:30" x14ac:dyDescent="0.2">
      <c r="A27" s="13">
        <v>201160027</v>
      </c>
      <c r="B27" s="17">
        <v>0</v>
      </c>
      <c r="C27" s="17">
        <v>0</v>
      </c>
      <c r="D27" s="17">
        <v>0</v>
      </c>
      <c r="E27" s="17">
        <v>0</v>
      </c>
      <c r="F27" s="17">
        <v>5</v>
      </c>
      <c r="G27" s="17">
        <v>9</v>
      </c>
      <c r="H27" s="17">
        <v>15</v>
      </c>
      <c r="I27" s="17">
        <v>18</v>
      </c>
      <c r="J27" s="17">
        <v>21</v>
      </c>
      <c r="K27" s="17">
        <v>25</v>
      </c>
      <c r="L27" s="17">
        <v>28</v>
      </c>
      <c r="M27" s="17">
        <v>30</v>
      </c>
      <c r="N27" s="17">
        <v>32</v>
      </c>
      <c r="O27" s="17">
        <v>38</v>
      </c>
      <c r="P27" s="17">
        <v>37</v>
      </c>
      <c r="Q27" s="17">
        <v>37</v>
      </c>
      <c r="R27" s="17">
        <v>39</v>
      </c>
      <c r="S27" s="17">
        <v>41</v>
      </c>
      <c r="T27" s="17">
        <v>42</v>
      </c>
      <c r="U27" s="17">
        <v>44</v>
      </c>
      <c r="V27" s="17">
        <v>48</v>
      </c>
      <c r="W27" s="17">
        <v>46</v>
      </c>
      <c r="X27" s="17">
        <v>47</v>
      </c>
      <c r="Y27" s="17">
        <v>48</v>
      </c>
      <c r="Z27" s="17">
        <v>50</v>
      </c>
      <c r="AA27" s="17"/>
      <c r="AB27" s="17"/>
      <c r="AC27" s="7"/>
      <c r="AD27" s="56"/>
    </row>
    <row r="28" spans="1:30" x14ac:dyDescent="0.2">
      <c r="A28" s="13">
        <v>201160044</v>
      </c>
      <c r="B28" s="17">
        <v>28</v>
      </c>
      <c r="C28" s="17">
        <v>30</v>
      </c>
      <c r="D28" s="17">
        <v>31</v>
      </c>
      <c r="E28" s="17">
        <v>35</v>
      </c>
      <c r="F28" s="17">
        <v>37</v>
      </c>
      <c r="G28" s="17">
        <v>40</v>
      </c>
      <c r="H28" s="17">
        <v>43</v>
      </c>
      <c r="I28" s="17">
        <v>47</v>
      </c>
      <c r="J28" s="17">
        <v>47</v>
      </c>
      <c r="K28" s="17">
        <v>49</v>
      </c>
      <c r="L28" s="17">
        <v>51</v>
      </c>
      <c r="M28" s="17">
        <v>52</v>
      </c>
      <c r="N28" s="17">
        <v>55</v>
      </c>
      <c r="O28" s="17">
        <v>57</v>
      </c>
      <c r="P28" s="17">
        <v>57</v>
      </c>
      <c r="Q28" s="17">
        <v>59</v>
      </c>
      <c r="R28" s="17">
        <v>61</v>
      </c>
      <c r="S28" s="17">
        <v>63</v>
      </c>
      <c r="T28" s="17">
        <v>64</v>
      </c>
      <c r="U28" s="17">
        <v>67</v>
      </c>
      <c r="V28" s="17">
        <v>68</v>
      </c>
      <c r="W28" s="17">
        <v>70</v>
      </c>
      <c r="X28" s="17">
        <v>71</v>
      </c>
      <c r="Y28" s="17">
        <v>72</v>
      </c>
      <c r="Z28" s="17">
        <v>75</v>
      </c>
      <c r="AA28" s="17"/>
      <c r="AB28" s="17"/>
      <c r="AC28" s="7"/>
      <c r="AD28" s="56"/>
    </row>
    <row r="29" spans="1:30" x14ac:dyDescent="0.2">
      <c r="A29" s="13">
        <v>209230013</v>
      </c>
      <c r="B29" s="17">
        <v>0</v>
      </c>
      <c r="C29" s="17">
        <v>0</v>
      </c>
      <c r="D29" s="17">
        <v>0</v>
      </c>
      <c r="E29" s="17">
        <v>13</v>
      </c>
      <c r="F29" s="17">
        <v>26</v>
      </c>
      <c r="G29" s="17">
        <v>37</v>
      </c>
      <c r="H29" s="17">
        <v>38</v>
      </c>
      <c r="I29" s="17">
        <v>47</v>
      </c>
      <c r="J29" s="17">
        <v>49</v>
      </c>
      <c r="K29" s="17">
        <v>54</v>
      </c>
      <c r="L29" s="17">
        <v>55</v>
      </c>
      <c r="M29" s="17">
        <v>60</v>
      </c>
      <c r="N29" s="17">
        <v>64</v>
      </c>
      <c r="O29" s="17">
        <v>70</v>
      </c>
      <c r="P29" s="17">
        <v>74</v>
      </c>
      <c r="Q29" s="17">
        <v>76</v>
      </c>
      <c r="R29" s="17">
        <v>80</v>
      </c>
      <c r="S29" s="17">
        <v>74</v>
      </c>
      <c r="T29" s="17">
        <v>20</v>
      </c>
      <c r="U29" s="17">
        <v>12</v>
      </c>
      <c r="V29" s="17">
        <v>17</v>
      </c>
      <c r="W29" s="17">
        <v>17</v>
      </c>
      <c r="X29" s="17">
        <v>17</v>
      </c>
      <c r="Y29" s="17"/>
      <c r="Z29" s="17">
        <v>28</v>
      </c>
      <c r="AA29" s="17"/>
      <c r="AB29" s="17"/>
      <c r="AC29" s="7"/>
      <c r="AD29" s="56"/>
    </row>
    <row r="30" spans="1:30" x14ac:dyDescent="0.2">
      <c r="A30" s="13">
        <v>209230030</v>
      </c>
      <c r="B30" s="17">
        <v>35</v>
      </c>
      <c r="C30" s="17">
        <v>34</v>
      </c>
      <c r="D30" s="17">
        <v>38</v>
      </c>
      <c r="E30" s="17">
        <v>41</v>
      </c>
      <c r="F30" s="17">
        <v>43</v>
      </c>
      <c r="G30" s="17">
        <v>45</v>
      </c>
      <c r="H30" s="17">
        <v>48</v>
      </c>
      <c r="I30" s="17">
        <v>51</v>
      </c>
      <c r="J30" s="17">
        <v>55</v>
      </c>
      <c r="K30" s="17">
        <v>58</v>
      </c>
      <c r="L30" s="17">
        <v>61</v>
      </c>
      <c r="M30" s="17">
        <v>64</v>
      </c>
      <c r="N30" s="17">
        <v>65</v>
      </c>
      <c r="O30" s="17">
        <v>66</v>
      </c>
      <c r="P30" s="17">
        <v>69</v>
      </c>
      <c r="Q30" s="17">
        <v>72</v>
      </c>
      <c r="R30" s="17">
        <v>74</v>
      </c>
      <c r="S30" s="17">
        <v>76</v>
      </c>
      <c r="T30" s="17">
        <v>79</v>
      </c>
      <c r="U30" s="17">
        <v>79</v>
      </c>
      <c r="V30" s="17">
        <v>79</v>
      </c>
      <c r="W30" s="17">
        <v>85</v>
      </c>
      <c r="X30" s="17">
        <v>55</v>
      </c>
      <c r="Y30" s="17">
        <v>52</v>
      </c>
      <c r="Z30" s="17">
        <v>55</v>
      </c>
      <c r="AA30" s="17"/>
      <c r="AB30" s="17"/>
      <c r="AC30" s="7"/>
      <c r="AD30" s="56"/>
    </row>
    <row r="31" spans="1:30" x14ac:dyDescent="0.2">
      <c r="A31" s="13" t="s">
        <v>23</v>
      </c>
      <c r="B31" s="17">
        <v>13</v>
      </c>
      <c r="C31" s="17">
        <v>22</v>
      </c>
      <c r="D31" s="17">
        <v>28</v>
      </c>
      <c r="E31" s="17">
        <v>35</v>
      </c>
      <c r="F31" s="17">
        <v>41</v>
      </c>
      <c r="G31" s="17">
        <v>47</v>
      </c>
      <c r="H31" s="17">
        <v>54</v>
      </c>
      <c r="I31" s="17">
        <v>58</v>
      </c>
      <c r="J31" s="17">
        <v>63</v>
      </c>
      <c r="K31" s="17">
        <v>70</v>
      </c>
      <c r="L31" s="17">
        <v>74</v>
      </c>
      <c r="M31" s="17">
        <v>80</v>
      </c>
      <c r="N31" s="17">
        <v>85</v>
      </c>
      <c r="O31" s="17">
        <v>91</v>
      </c>
      <c r="P31" s="17">
        <v>95</v>
      </c>
      <c r="Q31" s="17">
        <v>98</v>
      </c>
      <c r="R31" s="17">
        <v>103</v>
      </c>
      <c r="S31" s="17">
        <v>105</v>
      </c>
      <c r="T31" s="17">
        <v>109</v>
      </c>
      <c r="U31" s="17">
        <v>113</v>
      </c>
      <c r="V31" s="17">
        <v>117</v>
      </c>
      <c r="W31" s="17">
        <v>121</v>
      </c>
      <c r="X31" s="17">
        <v>123</v>
      </c>
      <c r="Y31" s="17">
        <v>127</v>
      </c>
      <c r="Z31" s="17">
        <v>129</v>
      </c>
      <c r="AA31" s="17"/>
      <c r="AB31" s="17"/>
      <c r="AC31" s="7"/>
      <c r="AD31" s="56"/>
    </row>
    <row r="32" spans="1:30" x14ac:dyDescent="0.2">
      <c r="A32" s="13" t="s">
        <v>24</v>
      </c>
      <c r="B32" s="17">
        <v>41</v>
      </c>
      <c r="C32" s="17">
        <v>39</v>
      </c>
      <c r="D32" s="17">
        <v>39</v>
      </c>
      <c r="E32" s="17">
        <v>38</v>
      </c>
      <c r="F32" s="17">
        <v>39</v>
      </c>
      <c r="G32" s="17">
        <v>40</v>
      </c>
      <c r="H32" s="17">
        <v>42</v>
      </c>
      <c r="I32" s="17">
        <v>43</v>
      </c>
      <c r="J32" s="17">
        <v>46</v>
      </c>
      <c r="K32" s="17">
        <v>47</v>
      </c>
      <c r="L32" s="17">
        <v>50</v>
      </c>
      <c r="M32" s="17">
        <v>52</v>
      </c>
      <c r="N32" s="17">
        <v>54</v>
      </c>
      <c r="O32" s="17">
        <v>55</v>
      </c>
      <c r="P32" s="17">
        <v>58</v>
      </c>
      <c r="Q32" s="17">
        <v>58</v>
      </c>
      <c r="R32" s="17">
        <v>59</v>
      </c>
      <c r="S32" s="17">
        <v>62</v>
      </c>
      <c r="T32" s="17">
        <v>63</v>
      </c>
      <c r="U32" s="17">
        <v>65</v>
      </c>
      <c r="V32" s="17">
        <v>66</v>
      </c>
      <c r="W32" s="17">
        <v>66</v>
      </c>
      <c r="X32" s="17">
        <v>69</v>
      </c>
      <c r="Y32" s="17">
        <v>70</v>
      </c>
      <c r="Z32" s="17">
        <v>71</v>
      </c>
      <c r="AA32" s="17"/>
      <c r="AB32" s="17"/>
      <c r="AC32" s="7"/>
      <c r="AD32" s="56"/>
    </row>
    <row r="33" spans="1:30" x14ac:dyDescent="0.2">
      <c r="A33" s="13">
        <v>221060025</v>
      </c>
      <c r="B33" s="17">
        <v>0</v>
      </c>
      <c r="C33" s="17">
        <v>2</v>
      </c>
      <c r="D33" s="17">
        <v>2</v>
      </c>
      <c r="E33" s="17">
        <v>1</v>
      </c>
      <c r="F33" s="17">
        <v>21</v>
      </c>
      <c r="G33" s="17">
        <v>56</v>
      </c>
      <c r="H33" s="17">
        <v>67</v>
      </c>
      <c r="I33" s="17">
        <v>74</v>
      </c>
      <c r="J33" s="17">
        <v>87</v>
      </c>
      <c r="K33" s="17">
        <v>86</v>
      </c>
      <c r="L33" s="17">
        <v>86</v>
      </c>
      <c r="M33" s="17">
        <v>98</v>
      </c>
      <c r="N33" s="17">
        <v>104</v>
      </c>
      <c r="O33" s="17">
        <v>103</v>
      </c>
      <c r="P33" s="17">
        <v>107</v>
      </c>
      <c r="Q33" s="17">
        <v>113</v>
      </c>
      <c r="R33" s="17">
        <v>102</v>
      </c>
      <c r="S33" s="17">
        <v>48</v>
      </c>
      <c r="T33" s="17">
        <v>15</v>
      </c>
      <c r="U33" s="17">
        <v>5</v>
      </c>
      <c r="V33" s="17">
        <v>25</v>
      </c>
      <c r="W33" s="17">
        <v>2</v>
      </c>
      <c r="X33" s="17">
        <v>2</v>
      </c>
      <c r="Y33" s="17">
        <v>3</v>
      </c>
      <c r="Z33" s="17">
        <v>2</v>
      </c>
      <c r="AA33" s="17"/>
      <c r="AB33" s="17"/>
      <c r="AC33" s="7"/>
      <c r="AD33" s="56"/>
    </row>
    <row r="34" spans="1:30" x14ac:dyDescent="0.2">
      <c r="A34" s="13">
        <v>251270020</v>
      </c>
      <c r="B34" s="17">
        <v>8</v>
      </c>
      <c r="C34" s="17">
        <v>14</v>
      </c>
      <c r="D34" s="17">
        <v>19</v>
      </c>
      <c r="E34" s="17">
        <v>22</v>
      </c>
      <c r="F34" s="17">
        <v>25</v>
      </c>
      <c r="G34" s="17">
        <v>29</v>
      </c>
      <c r="H34" s="17">
        <v>33</v>
      </c>
      <c r="I34" s="17">
        <v>36</v>
      </c>
      <c r="J34" s="17">
        <v>40</v>
      </c>
      <c r="K34" s="17">
        <v>44</v>
      </c>
      <c r="L34" s="17">
        <v>47</v>
      </c>
      <c r="M34" s="17">
        <v>50</v>
      </c>
      <c r="N34" s="17">
        <v>56</v>
      </c>
      <c r="O34" s="17">
        <v>59</v>
      </c>
      <c r="P34" s="17">
        <v>60</v>
      </c>
      <c r="Q34" s="17">
        <v>63</v>
      </c>
      <c r="R34" s="17">
        <v>62</v>
      </c>
      <c r="S34" s="17">
        <v>33</v>
      </c>
      <c r="T34" s="17">
        <v>22</v>
      </c>
      <c r="U34" s="17">
        <v>6</v>
      </c>
      <c r="V34" s="17">
        <v>5</v>
      </c>
      <c r="W34" s="17">
        <v>3</v>
      </c>
      <c r="X34" s="17">
        <v>3</v>
      </c>
      <c r="Y34" s="17">
        <v>2</v>
      </c>
      <c r="Z34" s="17">
        <v>2</v>
      </c>
      <c r="AA34" s="17"/>
      <c r="AB34" s="17"/>
      <c r="AC34" s="7"/>
      <c r="AD34" s="56"/>
    </row>
    <row r="35" spans="1:30" x14ac:dyDescent="0.2">
      <c r="A35" s="13">
        <v>253200037</v>
      </c>
      <c r="B35" s="17">
        <v>0</v>
      </c>
      <c r="C35" s="17">
        <v>0</v>
      </c>
      <c r="D35" s="17">
        <v>1</v>
      </c>
      <c r="E35" s="17">
        <v>13</v>
      </c>
      <c r="F35" s="17">
        <v>16</v>
      </c>
      <c r="G35" s="17">
        <v>21</v>
      </c>
      <c r="H35" s="17">
        <v>24</v>
      </c>
      <c r="I35" s="17">
        <v>26</v>
      </c>
      <c r="J35" s="17">
        <v>31</v>
      </c>
      <c r="K35" s="17">
        <v>32</v>
      </c>
      <c r="L35" s="17">
        <v>39</v>
      </c>
      <c r="M35" s="17">
        <v>40</v>
      </c>
      <c r="N35" s="17">
        <v>44</v>
      </c>
      <c r="O35" s="17">
        <v>47</v>
      </c>
      <c r="P35" s="17">
        <v>50</v>
      </c>
      <c r="Q35" s="17">
        <v>53</v>
      </c>
      <c r="R35" s="17">
        <v>55</v>
      </c>
      <c r="S35" s="17">
        <v>59</v>
      </c>
      <c r="T35" s="17">
        <v>61</v>
      </c>
      <c r="U35" s="17">
        <v>64</v>
      </c>
      <c r="V35" s="17">
        <v>66</v>
      </c>
      <c r="W35" s="17">
        <v>70</v>
      </c>
      <c r="X35" s="17">
        <v>71</v>
      </c>
      <c r="Y35" s="17">
        <v>72</v>
      </c>
      <c r="Z35" s="17">
        <v>76</v>
      </c>
      <c r="AA35" s="17"/>
      <c r="AB35" s="17"/>
      <c r="AC35" s="7"/>
      <c r="AD35" s="56"/>
    </row>
    <row r="36" spans="1:30" x14ac:dyDescent="0.2">
      <c r="A36" s="13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7"/>
      <c r="AD36" s="56"/>
    </row>
    <row r="37" spans="1:30" x14ac:dyDescent="0.2">
      <c r="A37" s="13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2"/>
    </row>
    <row r="38" spans="1:30" x14ac:dyDescent="0.2">
      <c r="AC38" s="2"/>
    </row>
    <row r="39" spans="1:30" x14ac:dyDescent="0.2">
      <c r="A39" s="13" t="s">
        <v>0</v>
      </c>
      <c r="B39" s="17">
        <f t="shared" ref="B39:Z39" si="2">COUNT(B7:B37)</f>
        <v>28</v>
      </c>
      <c r="C39" s="17">
        <f t="shared" si="2"/>
        <v>27</v>
      </c>
      <c r="D39" s="17">
        <f t="shared" si="2"/>
        <v>29</v>
      </c>
      <c r="E39" s="17">
        <f t="shared" si="2"/>
        <v>27</v>
      </c>
      <c r="F39" s="17">
        <f t="shared" si="2"/>
        <v>29</v>
      </c>
      <c r="G39" s="17">
        <f t="shared" si="2"/>
        <v>27</v>
      </c>
      <c r="H39" s="17">
        <f t="shared" si="2"/>
        <v>29</v>
      </c>
      <c r="I39" s="17">
        <f t="shared" si="2"/>
        <v>27</v>
      </c>
      <c r="J39" s="17">
        <f t="shared" si="2"/>
        <v>29</v>
      </c>
      <c r="K39" s="17">
        <f t="shared" si="2"/>
        <v>27</v>
      </c>
      <c r="L39" s="17">
        <f t="shared" si="2"/>
        <v>29</v>
      </c>
      <c r="M39" s="17">
        <f t="shared" si="2"/>
        <v>26</v>
      </c>
      <c r="N39" s="17">
        <f t="shared" si="2"/>
        <v>29</v>
      </c>
      <c r="O39" s="17">
        <f t="shared" si="2"/>
        <v>26</v>
      </c>
      <c r="P39" s="17">
        <f t="shared" si="2"/>
        <v>29</v>
      </c>
      <c r="Q39" s="17">
        <f t="shared" si="2"/>
        <v>25</v>
      </c>
      <c r="R39" s="17">
        <f t="shared" si="2"/>
        <v>27</v>
      </c>
      <c r="S39" s="17">
        <f t="shared" si="2"/>
        <v>24</v>
      </c>
      <c r="T39" s="17">
        <f t="shared" si="2"/>
        <v>28</v>
      </c>
      <c r="U39" s="17">
        <f t="shared" si="2"/>
        <v>22</v>
      </c>
      <c r="V39" s="17">
        <f t="shared" si="2"/>
        <v>26</v>
      </c>
      <c r="W39" s="17">
        <f t="shared" si="2"/>
        <v>22</v>
      </c>
      <c r="X39" s="17">
        <f t="shared" si="2"/>
        <v>24</v>
      </c>
      <c r="Y39" s="17">
        <f t="shared" si="2"/>
        <v>20</v>
      </c>
      <c r="Z39" s="17">
        <f t="shared" si="2"/>
        <v>23</v>
      </c>
      <c r="AA39" s="17"/>
      <c r="AB39" s="17"/>
    </row>
    <row r="40" spans="1:30" x14ac:dyDescent="0.2">
      <c r="A40" s="13" t="s">
        <v>1</v>
      </c>
      <c r="B40" s="85">
        <f t="shared" ref="B40:Z40" si="3">AVERAGE(B7:B37)</f>
        <v>13.785714285714286</v>
      </c>
      <c r="C40" s="85">
        <f t="shared" si="3"/>
        <v>12.333333333333334</v>
      </c>
      <c r="D40" s="85">
        <f t="shared" si="3"/>
        <v>19.379310344827587</v>
      </c>
      <c r="E40" s="85">
        <f t="shared" si="3"/>
        <v>20.518518518518519</v>
      </c>
      <c r="F40" s="85">
        <f t="shared" si="3"/>
        <v>28.206896551724139</v>
      </c>
      <c r="G40" s="85">
        <f t="shared" si="3"/>
        <v>31.222222222222221</v>
      </c>
      <c r="H40" s="85">
        <f t="shared" si="3"/>
        <v>38.344827586206897</v>
      </c>
      <c r="I40" s="85">
        <f t="shared" si="3"/>
        <v>39.555555555555557</v>
      </c>
      <c r="J40" s="85">
        <f t="shared" si="3"/>
        <v>45.344827586206897</v>
      </c>
      <c r="K40" s="85">
        <f t="shared" si="3"/>
        <v>47.037037037037038</v>
      </c>
      <c r="L40" s="85">
        <f t="shared" si="3"/>
        <v>50.206896551724135</v>
      </c>
      <c r="M40" s="85">
        <f t="shared" si="3"/>
        <v>52.96153846153846</v>
      </c>
      <c r="N40" s="85">
        <f t="shared" si="3"/>
        <v>56.827586206896555</v>
      </c>
      <c r="O40" s="85">
        <f t="shared" si="3"/>
        <v>60.384615384615387</v>
      </c>
      <c r="P40" s="85">
        <f t="shared" si="3"/>
        <v>61</v>
      </c>
      <c r="Q40" s="85">
        <f t="shared" si="3"/>
        <v>62.96</v>
      </c>
      <c r="R40" s="85">
        <f t="shared" si="3"/>
        <v>65.074074074074076</v>
      </c>
      <c r="S40" s="85">
        <f t="shared" si="3"/>
        <v>64.625</v>
      </c>
      <c r="T40" s="85">
        <f t="shared" si="3"/>
        <v>62.071428571428569</v>
      </c>
      <c r="U40" s="85">
        <f t="shared" si="3"/>
        <v>59.545454545454547</v>
      </c>
      <c r="V40" s="85">
        <f t="shared" si="3"/>
        <v>61.846153846153847</v>
      </c>
      <c r="W40" s="85">
        <f t="shared" si="3"/>
        <v>57.045454545454547</v>
      </c>
      <c r="X40" s="85">
        <f t="shared" si="3"/>
        <v>57.458333333333336</v>
      </c>
      <c r="Y40" s="85">
        <f t="shared" si="3"/>
        <v>50.6</v>
      </c>
      <c r="Z40" s="85">
        <f t="shared" si="3"/>
        <v>51.521739130434781</v>
      </c>
      <c r="AA40" s="85"/>
      <c r="AB40" s="85"/>
      <c r="AC40" s="1"/>
    </row>
    <row r="41" spans="1:30" x14ac:dyDescent="0.2">
      <c r="A41" s="105" t="s">
        <v>2</v>
      </c>
      <c r="B41" s="87">
        <f t="shared" ref="B41:Z41" si="4">STDEV(B7:B37)</f>
        <v>20.997984282195851</v>
      </c>
      <c r="C41" s="87">
        <f t="shared" si="4"/>
        <v>16.095866645723774</v>
      </c>
      <c r="D41" s="87">
        <f t="shared" si="4"/>
        <v>21.63564154865011</v>
      </c>
      <c r="E41" s="87">
        <f t="shared" si="4"/>
        <v>18.680245366471151</v>
      </c>
      <c r="F41" s="87">
        <f t="shared" si="4"/>
        <v>21.902999322246824</v>
      </c>
      <c r="G41" s="87">
        <f t="shared" si="4"/>
        <v>19.674922213380263</v>
      </c>
      <c r="H41" s="87">
        <f t="shared" si="4"/>
        <v>22.152516564665586</v>
      </c>
      <c r="I41" s="87">
        <f t="shared" si="4"/>
        <v>20.212968672713625</v>
      </c>
      <c r="J41" s="87">
        <f t="shared" si="4"/>
        <v>22.502818652129786</v>
      </c>
      <c r="K41" s="87">
        <f t="shared" si="4"/>
        <v>21.66969078172318</v>
      </c>
      <c r="L41" s="87">
        <f t="shared" si="4"/>
        <v>23.062615559671499</v>
      </c>
      <c r="M41" s="87">
        <f t="shared" si="4"/>
        <v>21.057028791794469</v>
      </c>
      <c r="N41" s="87">
        <f t="shared" si="4"/>
        <v>24.04024745165793</v>
      </c>
      <c r="O41" s="87">
        <f t="shared" si="4"/>
        <v>22.22984826412798</v>
      </c>
      <c r="P41" s="87">
        <f t="shared" si="4"/>
        <v>23.456646940990641</v>
      </c>
      <c r="Q41" s="87">
        <f t="shared" si="4"/>
        <v>22.659582226216504</v>
      </c>
      <c r="R41" s="87">
        <f t="shared" si="4"/>
        <v>25.015265994259043</v>
      </c>
      <c r="S41" s="87">
        <f t="shared" si="4"/>
        <v>23.907089179644565</v>
      </c>
      <c r="T41" s="87">
        <f t="shared" si="4"/>
        <v>29.13052182140412</v>
      </c>
      <c r="U41" s="87">
        <f t="shared" si="4"/>
        <v>30.960385245430238</v>
      </c>
      <c r="V41" s="87">
        <f t="shared" si="4"/>
        <v>29.511614402051684</v>
      </c>
      <c r="W41" s="87">
        <f t="shared" si="4"/>
        <v>32.463132602307162</v>
      </c>
      <c r="X41" s="87">
        <f t="shared" si="4"/>
        <v>31.168516956624071</v>
      </c>
      <c r="Y41" s="87">
        <f t="shared" si="4"/>
        <v>33.862570549362118</v>
      </c>
      <c r="Z41" s="87">
        <f t="shared" si="4"/>
        <v>34.592260780828617</v>
      </c>
      <c r="AA41" s="87"/>
      <c r="AB41" s="87"/>
      <c r="AC41" s="9"/>
    </row>
    <row r="42" spans="1:30" x14ac:dyDescent="0.2">
      <c r="A42" s="13" t="s">
        <v>3</v>
      </c>
      <c r="B42" s="87">
        <f t="shared" ref="B42:Z42" si="5">B41/SQRT(B39)</f>
        <v>3.9682460317380954</v>
      </c>
      <c r="C42" s="87">
        <f t="shared" si="5"/>
        <v>3.0976509802496466</v>
      </c>
      <c r="D42" s="87">
        <f t="shared" si="5"/>
        <v>4.0176377740540561</v>
      </c>
      <c r="E42" s="87">
        <f t="shared" si="5"/>
        <v>3.5950148969534594</v>
      </c>
      <c r="F42" s="87">
        <f t="shared" si="5"/>
        <v>4.0672848662363617</v>
      </c>
      <c r="G42" s="87">
        <f t="shared" si="5"/>
        <v>3.7864405453933476</v>
      </c>
      <c r="H42" s="87">
        <f t="shared" si="5"/>
        <v>4.1136190549483196</v>
      </c>
      <c r="I42" s="87">
        <f t="shared" si="5"/>
        <v>3.8899876347708946</v>
      </c>
      <c r="J42" s="87">
        <f t="shared" si="5"/>
        <v>4.1786685195441109</v>
      </c>
      <c r="K42" s="87">
        <f t="shared" si="5"/>
        <v>4.1703339353612767</v>
      </c>
      <c r="L42" s="87">
        <f t="shared" si="5"/>
        <v>4.2826201956005372</v>
      </c>
      <c r="M42" s="87">
        <f t="shared" si="5"/>
        <v>4.1296231041401965</v>
      </c>
      <c r="N42" s="87">
        <f t="shared" si="5"/>
        <v>4.4641618803956291</v>
      </c>
      <c r="O42" s="87">
        <f t="shared" si="5"/>
        <v>4.3596319262690493</v>
      </c>
      <c r="P42" s="87">
        <f t="shared" si="5"/>
        <v>4.3557899862069664</v>
      </c>
      <c r="Q42" s="87">
        <f t="shared" si="5"/>
        <v>4.5319164452433007</v>
      </c>
      <c r="R42" s="87">
        <f t="shared" si="5"/>
        <v>4.8141901852118494</v>
      </c>
      <c r="S42" s="87">
        <f t="shared" si="5"/>
        <v>4.8800141437785056</v>
      </c>
      <c r="T42" s="87">
        <f t="shared" si="5"/>
        <v>5.505151164355401</v>
      </c>
      <c r="U42" s="87">
        <f t="shared" si="5"/>
        <v>6.6007763129713988</v>
      </c>
      <c r="V42" s="87">
        <f t="shared" si="5"/>
        <v>5.7877037582187469</v>
      </c>
      <c r="W42" s="87">
        <f t="shared" si="5"/>
        <v>6.9211631259590582</v>
      </c>
      <c r="X42" s="87">
        <f t="shared" si="5"/>
        <v>6.3622468819178524</v>
      </c>
      <c r="Y42" s="87">
        <f t="shared" si="5"/>
        <v>7.571900964125609</v>
      </c>
      <c r="Z42" s="87">
        <f t="shared" si="5"/>
        <v>7.2129849876240071</v>
      </c>
      <c r="AA42" s="87"/>
      <c r="AB42" s="87"/>
      <c r="AC42" s="6"/>
    </row>
    <row r="43" spans="1:30" x14ac:dyDescent="0.2">
      <c r="A43" s="10" t="s">
        <v>204</v>
      </c>
      <c r="AC43" s="6"/>
    </row>
    <row r="46" spans="1:30" x14ac:dyDescent="0.2">
      <c r="M46" s="12" t="s">
        <v>6</v>
      </c>
    </row>
    <row r="47" spans="1:30" x14ac:dyDescent="0.2">
      <c r="A47" s="11" t="s">
        <v>4</v>
      </c>
      <c r="B47" s="17">
        <v>1</v>
      </c>
      <c r="C47" s="17">
        <f t="shared" ref="C47:Z47" si="6">B47+1</f>
        <v>2</v>
      </c>
      <c r="D47" s="17">
        <f t="shared" si="6"/>
        <v>3</v>
      </c>
      <c r="E47" s="17">
        <f t="shared" si="6"/>
        <v>4</v>
      </c>
      <c r="F47" s="17">
        <f t="shared" si="6"/>
        <v>5</v>
      </c>
      <c r="G47" s="17">
        <f t="shared" si="6"/>
        <v>6</v>
      </c>
      <c r="H47" s="17">
        <f t="shared" si="6"/>
        <v>7</v>
      </c>
      <c r="I47" s="17">
        <f t="shared" si="6"/>
        <v>8</v>
      </c>
      <c r="J47" s="17">
        <f t="shared" si="6"/>
        <v>9</v>
      </c>
      <c r="K47" s="17">
        <f t="shared" si="6"/>
        <v>10</v>
      </c>
      <c r="L47" s="17">
        <f t="shared" si="6"/>
        <v>11</v>
      </c>
      <c r="M47" s="17">
        <f t="shared" si="6"/>
        <v>12</v>
      </c>
      <c r="N47" s="17">
        <f t="shared" si="6"/>
        <v>13</v>
      </c>
      <c r="O47" s="17">
        <f t="shared" si="6"/>
        <v>14</v>
      </c>
      <c r="P47" s="17">
        <f t="shared" si="6"/>
        <v>15</v>
      </c>
      <c r="Q47" s="17">
        <f t="shared" si="6"/>
        <v>16</v>
      </c>
      <c r="R47" s="17">
        <f t="shared" si="6"/>
        <v>17</v>
      </c>
      <c r="S47" s="17">
        <f t="shared" si="6"/>
        <v>18</v>
      </c>
      <c r="T47" s="17">
        <f t="shared" si="6"/>
        <v>19</v>
      </c>
      <c r="U47" s="17">
        <f t="shared" si="6"/>
        <v>20</v>
      </c>
      <c r="V47" s="17">
        <f t="shared" si="6"/>
        <v>21</v>
      </c>
      <c r="W47" s="17">
        <f t="shared" si="6"/>
        <v>22</v>
      </c>
      <c r="X47" s="17">
        <f t="shared" si="6"/>
        <v>23</v>
      </c>
      <c r="Y47" s="17">
        <f t="shared" si="6"/>
        <v>24</v>
      </c>
      <c r="Z47" s="17">
        <f t="shared" si="6"/>
        <v>25</v>
      </c>
      <c r="AA47" s="17"/>
      <c r="AB47" s="17"/>
    </row>
    <row r="48" spans="1:30" x14ac:dyDescent="0.2">
      <c r="A48" s="12" t="s">
        <v>314</v>
      </c>
      <c r="B48" s="17">
        <v>-60</v>
      </c>
      <c r="C48" s="17">
        <f t="shared" ref="C48:Z48" si="7">B48+10</f>
        <v>-50</v>
      </c>
      <c r="D48" s="17">
        <f t="shared" si="7"/>
        <v>-40</v>
      </c>
      <c r="E48" s="17">
        <f t="shared" si="7"/>
        <v>-30</v>
      </c>
      <c r="F48" s="17">
        <f t="shared" si="7"/>
        <v>-20</v>
      </c>
      <c r="G48" s="17">
        <f t="shared" si="7"/>
        <v>-10</v>
      </c>
      <c r="H48" s="17">
        <f t="shared" si="7"/>
        <v>0</v>
      </c>
      <c r="I48" s="17">
        <f t="shared" si="7"/>
        <v>10</v>
      </c>
      <c r="J48" s="17">
        <f t="shared" si="7"/>
        <v>20</v>
      </c>
      <c r="K48" s="17">
        <f t="shared" si="7"/>
        <v>30</v>
      </c>
      <c r="L48" s="17">
        <f t="shared" si="7"/>
        <v>40</v>
      </c>
      <c r="M48" s="17">
        <f t="shared" si="7"/>
        <v>50</v>
      </c>
      <c r="N48" s="17">
        <f t="shared" si="7"/>
        <v>60</v>
      </c>
      <c r="O48" s="17">
        <f t="shared" si="7"/>
        <v>70</v>
      </c>
      <c r="P48" s="17">
        <f t="shared" si="7"/>
        <v>80</v>
      </c>
      <c r="Q48" s="17">
        <f t="shared" si="7"/>
        <v>90</v>
      </c>
      <c r="R48" s="17">
        <f t="shared" si="7"/>
        <v>100</v>
      </c>
      <c r="S48" s="17">
        <f t="shared" si="7"/>
        <v>110</v>
      </c>
      <c r="T48" s="17">
        <f t="shared" si="7"/>
        <v>120</v>
      </c>
      <c r="U48" s="17">
        <f t="shared" si="7"/>
        <v>130</v>
      </c>
      <c r="V48" s="17">
        <f t="shared" si="7"/>
        <v>140</v>
      </c>
      <c r="W48" s="17">
        <f t="shared" si="7"/>
        <v>150</v>
      </c>
      <c r="X48" s="17">
        <f t="shared" si="7"/>
        <v>160</v>
      </c>
      <c r="Y48" s="17">
        <f t="shared" si="7"/>
        <v>170</v>
      </c>
      <c r="Z48" s="17">
        <f t="shared" si="7"/>
        <v>180</v>
      </c>
      <c r="AA48" s="17"/>
      <c r="AB48" s="17"/>
      <c r="AC48" s="1"/>
    </row>
    <row r="49" spans="1:29" x14ac:dyDescent="0.2">
      <c r="A49" s="13" t="s">
        <v>25</v>
      </c>
      <c r="B49" s="17">
        <v>0</v>
      </c>
      <c r="C49" s="17"/>
      <c r="D49" s="17">
        <v>0</v>
      </c>
      <c r="E49" s="17">
        <v>0</v>
      </c>
      <c r="F49" s="17">
        <v>1</v>
      </c>
      <c r="G49" s="17">
        <v>0</v>
      </c>
      <c r="H49" s="17">
        <v>5</v>
      </c>
      <c r="I49" s="17"/>
      <c r="J49" s="17">
        <v>16</v>
      </c>
      <c r="K49" s="17"/>
      <c r="L49" s="17">
        <v>25</v>
      </c>
      <c r="M49" s="17"/>
      <c r="N49" s="17">
        <v>27</v>
      </c>
      <c r="O49" s="17"/>
      <c r="P49" s="17">
        <v>22</v>
      </c>
      <c r="Q49" s="17"/>
      <c r="R49" s="17">
        <v>27</v>
      </c>
      <c r="S49" s="17"/>
      <c r="T49" s="17">
        <v>25</v>
      </c>
      <c r="U49" s="17"/>
      <c r="V49" s="17">
        <v>29</v>
      </c>
      <c r="W49" s="17"/>
      <c r="X49" s="17">
        <v>27</v>
      </c>
      <c r="Y49" s="17"/>
      <c r="Z49" s="17">
        <v>14</v>
      </c>
      <c r="AA49" s="17"/>
      <c r="AB49" s="17"/>
      <c r="AC49" s="7"/>
    </row>
    <row r="50" spans="1:29" x14ac:dyDescent="0.2">
      <c r="A50" s="13">
        <v>132120002</v>
      </c>
      <c r="B50" s="17"/>
      <c r="C50" s="17"/>
      <c r="D50" s="17">
        <v>15</v>
      </c>
      <c r="E50" s="17"/>
      <c r="F50" s="17">
        <v>14</v>
      </c>
      <c r="G50" s="17"/>
      <c r="H50" s="17">
        <v>20</v>
      </c>
      <c r="I50" s="17"/>
      <c r="J50" s="17">
        <v>24</v>
      </c>
      <c r="K50" s="17"/>
      <c r="L50" s="17">
        <v>28</v>
      </c>
      <c r="M50" s="17"/>
      <c r="N50" s="17">
        <v>34</v>
      </c>
      <c r="O50" s="17"/>
      <c r="P50" s="17">
        <v>34</v>
      </c>
      <c r="Q50" s="17"/>
      <c r="R50" s="17">
        <v>19</v>
      </c>
      <c r="S50" s="17"/>
      <c r="T50" s="17"/>
      <c r="U50" s="17"/>
      <c r="V50" s="17">
        <v>3</v>
      </c>
      <c r="W50" s="17"/>
      <c r="X50" s="17">
        <v>2</v>
      </c>
      <c r="Y50" s="17"/>
      <c r="Z50" s="17">
        <v>9</v>
      </c>
      <c r="AA50" s="17"/>
      <c r="AB50" s="17"/>
      <c r="AC50" s="7"/>
    </row>
    <row r="51" spans="1:29" x14ac:dyDescent="0.2">
      <c r="A51" s="13">
        <v>132120018</v>
      </c>
      <c r="B51" s="17">
        <v>0</v>
      </c>
      <c r="C51" s="17"/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8</v>
      </c>
      <c r="K51" s="17"/>
      <c r="L51" s="17">
        <v>8</v>
      </c>
      <c r="M51" s="17"/>
      <c r="N51" s="17">
        <v>8</v>
      </c>
      <c r="O51" s="17"/>
      <c r="P51" s="17">
        <v>7</v>
      </c>
      <c r="Q51" s="17"/>
      <c r="R51" s="17">
        <v>8</v>
      </c>
      <c r="S51" s="17"/>
      <c r="T51" s="17">
        <v>7</v>
      </c>
      <c r="U51" s="17"/>
      <c r="V51" s="17">
        <v>7</v>
      </c>
      <c r="W51" s="17"/>
      <c r="X51" s="17">
        <v>8</v>
      </c>
      <c r="Y51" s="17"/>
      <c r="Z51" s="17">
        <v>6</v>
      </c>
      <c r="AA51" s="17"/>
      <c r="AB51" s="17"/>
      <c r="AC51" s="7"/>
    </row>
    <row r="52" spans="1:29" x14ac:dyDescent="0.2">
      <c r="A52" s="13">
        <v>133150054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11</v>
      </c>
      <c r="Q52" s="17"/>
      <c r="R52" s="17">
        <v>19</v>
      </c>
      <c r="S52" s="17"/>
      <c r="T52" s="17">
        <v>7</v>
      </c>
      <c r="U52" s="17"/>
      <c r="V52" s="17">
        <v>21</v>
      </c>
      <c r="W52" s="17"/>
      <c r="X52" s="17">
        <v>22</v>
      </c>
      <c r="Y52" s="17"/>
      <c r="Z52" s="17">
        <v>19</v>
      </c>
      <c r="AA52" s="17"/>
      <c r="AB52" s="17"/>
      <c r="AC52" s="7"/>
    </row>
    <row r="53" spans="1:29" x14ac:dyDescent="0.2">
      <c r="A53" s="13">
        <v>133270004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18</v>
      </c>
      <c r="K53" s="17"/>
      <c r="L53" s="17">
        <v>32</v>
      </c>
      <c r="M53" s="17"/>
      <c r="N53" s="17">
        <v>38</v>
      </c>
      <c r="O53" s="17"/>
      <c r="P53" s="17">
        <v>8</v>
      </c>
      <c r="R53" s="17"/>
      <c r="Z53" s="17">
        <v>9</v>
      </c>
      <c r="AA53" s="17"/>
      <c r="AB53" s="17"/>
      <c r="AC53" s="7"/>
    </row>
    <row r="54" spans="1:29" x14ac:dyDescent="0.2">
      <c r="A54" s="13">
        <v>146210041</v>
      </c>
      <c r="B54" s="17">
        <v>0</v>
      </c>
      <c r="C54" s="17"/>
      <c r="D54" s="17">
        <v>0</v>
      </c>
      <c r="E54" s="17"/>
      <c r="F54" s="17">
        <v>0</v>
      </c>
      <c r="G54" s="17"/>
      <c r="H54" s="17">
        <v>0</v>
      </c>
      <c r="I54" s="17"/>
      <c r="J54" s="17">
        <v>0</v>
      </c>
      <c r="K54" s="17"/>
      <c r="L54" s="17">
        <v>0</v>
      </c>
      <c r="M54" s="17"/>
      <c r="N54" s="17">
        <v>0</v>
      </c>
      <c r="O54" s="17"/>
      <c r="P54" s="17">
        <v>0</v>
      </c>
      <c r="Q54" s="17"/>
      <c r="R54" s="17">
        <v>33</v>
      </c>
      <c r="S54" s="17"/>
      <c r="T54" s="17">
        <v>55</v>
      </c>
      <c r="U54" s="17"/>
      <c r="V54" s="17">
        <v>64</v>
      </c>
      <c r="W54" s="17"/>
      <c r="X54" s="17">
        <v>80</v>
      </c>
      <c r="Y54" s="17"/>
      <c r="Z54" s="17">
        <v>89</v>
      </c>
      <c r="AA54" s="17"/>
      <c r="AB54" s="17"/>
      <c r="AC54" s="5"/>
    </row>
    <row r="55" spans="1:29" x14ac:dyDescent="0.2">
      <c r="A55" s="13">
        <v>146230003</v>
      </c>
      <c r="B55" s="17">
        <v>0</v>
      </c>
      <c r="C55" s="17"/>
      <c r="D55" s="17">
        <v>0</v>
      </c>
      <c r="E55" s="17"/>
      <c r="F55" s="17">
        <v>0</v>
      </c>
      <c r="G55" s="17"/>
      <c r="H55" s="17">
        <v>0</v>
      </c>
      <c r="I55" s="17"/>
      <c r="J55" s="17">
        <v>61</v>
      </c>
      <c r="K55" s="17"/>
      <c r="L55" s="17">
        <v>63</v>
      </c>
      <c r="M55" s="17"/>
      <c r="N55" s="17">
        <v>66</v>
      </c>
      <c r="O55" s="17"/>
      <c r="P55" s="17">
        <v>67</v>
      </c>
      <c r="Q55" s="17"/>
      <c r="R55" s="17">
        <v>69</v>
      </c>
      <c r="S55" s="17"/>
      <c r="T55" s="17">
        <v>75</v>
      </c>
      <c r="U55" s="17"/>
      <c r="V55" s="17">
        <v>73</v>
      </c>
      <c r="W55" s="17"/>
      <c r="X55" s="17">
        <v>70</v>
      </c>
      <c r="Y55" s="17"/>
      <c r="Z55" s="17">
        <v>76</v>
      </c>
      <c r="AA55" s="17"/>
      <c r="AB55" s="17"/>
      <c r="AC55" s="5"/>
    </row>
    <row r="56" spans="1:29" x14ac:dyDescent="0.2">
      <c r="A56" s="13">
        <v>146230024</v>
      </c>
      <c r="B56" s="17">
        <v>0</v>
      </c>
      <c r="C56" s="17"/>
      <c r="D56" s="17">
        <v>0</v>
      </c>
      <c r="E56" s="17"/>
      <c r="F56" s="17">
        <v>0</v>
      </c>
      <c r="G56" s="17"/>
      <c r="H56" s="17">
        <v>0</v>
      </c>
      <c r="I56" s="17"/>
      <c r="J56" s="17">
        <v>5</v>
      </c>
      <c r="K56" s="17"/>
      <c r="L56" s="17">
        <v>14</v>
      </c>
      <c r="M56" s="17"/>
      <c r="N56" s="17">
        <v>20</v>
      </c>
      <c r="O56" s="17"/>
      <c r="P56" s="17">
        <v>24</v>
      </c>
      <c r="Q56" s="17"/>
      <c r="R56" s="17">
        <v>28</v>
      </c>
      <c r="S56" s="17"/>
      <c r="T56" s="17">
        <v>30</v>
      </c>
      <c r="U56" s="17"/>
      <c r="V56" s="17">
        <v>32</v>
      </c>
      <c r="W56" s="17"/>
      <c r="X56" s="17">
        <v>34</v>
      </c>
      <c r="Y56" s="17"/>
      <c r="Z56" s="17">
        <v>35</v>
      </c>
      <c r="AA56" s="17"/>
      <c r="AB56" s="17"/>
      <c r="AC56" s="5"/>
    </row>
    <row r="57" spans="1:29" x14ac:dyDescent="0.2">
      <c r="A57" s="13">
        <v>146280003</v>
      </c>
      <c r="B57" s="17">
        <v>0</v>
      </c>
      <c r="C57" s="17"/>
      <c r="D57" s="17">
        <v>0</v>
      </c>
      <c r="E57" s="17"/>
      <c r="F57" s="17">
        <v>0</v>
      </c>
      <c r="G57" s="17"/>
      <c r="H57" s="17">
        <v>13</v>
      </c>
      <c r="I57" s="17"/>
      <c r="J57" s="17">
        <v>22</v>
      </c>
      <c r="K57" s="17"/>
      <c r="L57" s="17">
        <v>36</v>
      </c>
      <c r="M57" s="17"/>
      <c r="N57" s="17">
        <v>34</v>
      </c>
      <c r="O57" s="17"/>
      <c r="P57" s="17">
        <v>44</v>
      </c>
      <c r="Q57" s="17"/>
      <c r="R57" s="17">
        <v>41</v>
      </c>
      <c r="S57" s="17"/>
      <c r="T57" s="17">
        <v>44</v>
      </c>
      <c r="U57" s="17"/>
      <c r="V57" s="17">
        <v>43</v>
      </c>
      <c r="W57" s="17"/>
      <c r="X57" s="17">
        <v>41</v>
      </c>
      <c r="Y57" s="17"/>
      <c r="Z57" s="17">
        <v>37</v>
      </c>
      <c r="AA57" s="17"/>
      <c r="AB57" s="17"/>
      <c r="AC57" s="5"/>
    </row>
    <row r="58" spans="1:29" x14ac:dyDescent="0.2">
      <c r="A58" s="13" t="s">
        <v>26</v>
      </c>
      <c r="B58" s="17">
        <v>0</v>
      </c>
      <c r="C58" s="17">
        <v>0</v>
      </c>
      <c r="D58" s="17">
        <v>3</v>
      </c>
      <c r="E58" s="17">
        <v>0</v>
      </c>
      <c r="F58" s="17">
        <v>0</v>
      </c>
      <c r="G58" s="17">
        <v>2</v>
      </c>
      <c r="H58" s="17">
        <v>6</v>
      </c>
      <c r="I58" s="17">
        <v>8</v>
      </c>
      <c r="J58" s="17">
        <v>10</v>
      </c>
      <c r="K58" s="17">
        <v>10</v>
      </c>
      <c r="L58" s="17">
        <v>10</v>
      </c>
      <c r="M58" s="17">
        <v>9</v>
      </c>
      <c r="N58" s="17">
        <v>6</v>
      </c>
      <c r="O58" s="17">
        <v>5</v>
      </c>
      <c r="P58" s="17">
        <v>4</v>
      </c>
      <c r="Q58" s="17">
        <v>1</v>
      </c>
      <c r="R58" s="17">
        <v>2</v>
      </c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7"/>
    </row>
    <row r="59" spans="1:29" x14ac:dyDescent="0.2">
      <c r="A59" s="13" t="s">
        <v>27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1</v>
      </c>
      <c r="I59" s="17">
        <v>14</v>
      </c>
      <c r="J59" s="17">
        <v>6</v>
      </c>
      <c r="K59" s="17">
        <v>8</v>
      </c>
      <c r="L59" s="17">
        <v>11</v>
      </c>
      <c r="M59" s="17">
        <v>14</v>
      </c>
      <c r="N59" s="17">
        <v>13</v>
      </c>
      <c r="O59" s="17">
        <v>12</v>
      </c>
      <c r="P59" s="17">
        <v>15</v>
      </c>
      <c r="Q59" s="17">
        <v>15</v>
      </c>
      <c r="R59" s="17">
        <v>19</v>
      </c>
      <c r="S59" s="17">
        <v>16</v>
      </c>
      <c r="T59" s="17">
        <v>17</v>
      </c>
      <c r="U59" s="17">
        <v>19</v>
      </c>
      <c r="V59" s="17">
        <v>20</v>
      </c>
      <c r="W59" s="17">
        <v>17</v>
      </c>
      <c r="X59" s="17">
        <v>18</v>
      </c>
      <c r="Y59" s="17">
        <v>19</v>
      </c>
      <c r="Z59" s="17">
        <v>21</v>
      </c>
      <c r="AA59" s="17"/>
      <c r="AB59" s="17"/>
      <c r="AC59" s="7"/>
    </row>
    <row r="60" spans="1:29" x14ac:dyDescent="0.2">
      <c r="A60" s="13" t="s">
        <v>28</v>
      </c>
      <c r="B60" s="85">
        <v>7</v>
      </c>
      <c r="C60" s="85">
        <v>12.5</v>
      </c>
      <c r="D60" s="85">
        <v>16</v>
      </c>
      <c r="E60" s="85">
        <v>22</v>
      </c>
      <c r="F60" s="85">
        <v>27</v>
      </c>
      <c r="G60" s="85">
        <v>33</v>
      </c>
      <c r="H60" s="85">
        <v>36.5</v>
      </c>
      <c r="I60" s="85">
        <v>40.5</v>
      </c>
      <c r="J60" s="85">
        <v>44.5</v>
      </c>
      <c r="K60" s="85">
        <v>47</v>
      </c>
      <c r="L60" s="85">
        <v>50.5</v>
      </c>
      <c r="M60" s="85">
        <v>53</v>
      </c>
      <c r="N60" s="85">
        <v>55</v>
      </c>
      <c r="O60" s="85">
        <v>58</v>
      </c>
      <c r="P60" s="85">
        <v>59.5</v>
      </c>
      <c r="Q60" s="85">
        <v>62</v>
      </c>
      <c r="R60" s="85">
        <v>63.5</v>
      </c>
      <c r="S60" s="85">
        <v>66</v>
      </c>
      <c r="T60" s="85">
        <v>68</v>
      </c>
      <c r="U60" s="85">
        <v>70.5</v>
      </c>
      <c r="V60" s="85">
        <v>72.5</v>
      </c>
      <c r="W60" s="85">
        <v>74.5</v>
      </c>
      <c r="X60" s="85">
        <v>77</v>
      </c>
      <c r="Y60" s="85">
        <v>72</v>
      </c>
      <c r="Z60" s="85">
        <v>55</v>
      </c>
      <c r="AA60" s="17"/>
      <c r="AB60" s="17"/>
      <c r="AC60" s="7"/>
    </row>
    <row r="61" spans="1:29" x14ac:dyDescent="0.2">
      <c r="A61" s="13">
        <v>171120006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10</v>
      </c>
      <c r="K61" s="17">
        <v>7</v>
      </c>
      <c r="L61" s="17">
        <v>11</v>
      </c>
      <c r="M61" s="17">
        <v>19</v>
      </c>
      <c r="N61" s="17">
        <v>11</v>
      </c>
      <c r="O61" s="17">
        <v>13</v>
      </c>
      <c r="P61" s="17">
        <v>11</v>
      </c>
      <c r="Q61" s="17">
        <v>12</v>
      </c>
      <c r="R61" s="17">
        <v>13</v>
      </c>
      <c r="S61" s="17">
        <v>11</v>
      </c>
      <c r="T61" s="17">
        <v>13</v>
      </c>
      <c r="U61" s="17">
        <v>12</v>
      </c>
      <c r="V61" s="17">
        <v>11</v>
      </c>
      <c r="W61" s="17">
        <v>10</v>
      </c>
      <c r="X61" s="17">
        <v>8</v>
      </c>
      <c r="Y61" s="17">
        <v>11</v>
      </c>
      <c r="Z61" s="17">
        <v>7</v>
      </c>
      <c r="AA61" s="17"/>
      <c r="AB61" s="17"/>
      <c r="AC61" s="7"/>
    </row>
    <row r="62" spans="1:29" x14ac:dyDescent="0.2">
      <c r="A62" s="13" t="s">
        <v>29</v>
      </c>
      <c r="B62" s="17">
        <v>0</v>
      </c>
      <c r="C62" s="17">
        <v>0</v>
      </c>
      <c r="D62" s="17">
        <v>4</v>
      </c>
      <c r="E62" s="17">
        <v>7</v>
      </c>
      <c r="F62" s="17">
        <v>26</v>
      </c>
      <c r="G62" s="17">
        <v>34</v>
      </c>
      <c r="H62" s="17">
        <v>35</v>
      </c>
      <c r="I62" s="17">
        <v>40</v>
      </c>
      <c r="J62" s="17">
        <v>45</v>
      </c>
      <c r="K62" s="17">
        <v>48</v>
      </c>
      <c r="L62" s="17">
        <v>49</v>
      </c>
      <c r="M62" s="17">
        <v>51</v>
      </c>
      <c r="N62" s="17">
        <v>55</v>
      </c>
      <c r="O62" s="17">
        <v>53</v>
      </c>
      <c r="P62" s="17">
        <v>31</v>
      </c>
      <c r="Q62" s="17">
        <v>25</v>
      </c>
      <c r="R62" s="17">
        <v>26</v>
      </c>
      <c r="S62" s="17">
        <v>28</v>
      </c>
      <c r="T62" s="17">
        <v>28</v>
      </c>
      <c r="U62" s="17">
        <v>31</v>
      </c>
      <c r="V62" s="17">
        <v>31</v>
      </c>
      <c r="W62" s="17">
        <v>31</v>
      </c>
      <c r="X62" s="17">
        <v>34</v>
      </c>
      <c r="Y62" s="17">
        <v>35</v>
      </c>
      <c r="Z62" s="17">
        <v>32</v>
      </c>
      <c r="AA62" s="17"/>
      <c r="AB62" s="17"/>
      <c r="AC62" s="7"/>
    </row>
    <row r="63" spans="1:29" x14ac:dyDescent="0.2">
      <c r="A63" s="13" t="s">
        <v>30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1</v>
      </c>
      <c r="L63" s="17">
        <v>15</v>
      </c>
      <c r="M63" s="17">
        <v>16</v>
      </c>
      <c r="N63" s="17">
        <v>21</v>
      </c>
      <c r="O63" s="17">
        <v>22</v>
      </c>
      <c r="P63" s="17">
        <v>24</v>
      </c>
      <c r="Q63" s="17">
        <v>26</v>
      </c>
      <c r="R63" s="17">
        <v>29</v>
      </c>
      <c r="S63" s="17">
        <v>30</v>
      </c>
      <c r="T63" s="17">
        <v>32</v>
      </c>
      <c r="U63" s="17">
        <v>33</v>
      </c>
      <c r="V63" s="17">
        <v>35</v>
      </c>
      <c r="W63" s="17">
        <v>38</v>
      </c>
      <c r="X63" s="17">
        <v>38</v>
      </c>
      <c r="Y63" s="17">
        <v>39</v>
      </c>
      <c r="Z63" s="17">
        <v>41</v>
      </c>
      <c r="AA63" s="17"/>
      <c r="AB63" s="17"/>
      <c r="AC63" s="7"/>
    </row>
    <row r="64" spans="1:29" x14ac:dyDescent="0.2">
      <c r="A64" s="13" t="s">
        <v>31</v>
      </c>
      <c r="B64" s="17">
        <v>0</v>
      </c>
      <c r="C64" s="17">
        <v>2</v>
      </c>
      <c r="D64" s="17">
        <v>3</v>
      </c>
      <c r="E64" s="17">
        <v>4</v>
      </c>
      <c r="F64" s="17">
        <v>5</v>
      </c>
      <c r="G64" s="17">
        <v>5</v>
      </c>
      <c r="H64" s="17">
        <v>5</v>
      </c>
      <c r="I64" s="17">
        <v>5</v>
      </c>
      <c r="J64" s="17">
        <v>4</v>
      </c>
      <c r="K64" s="17">
        <v>5</v>
      </c>
      <c r="L64" s="17">
        <v>6</v>
      </c>
      <c r="M64" s="17">
        <v>5</v>
      </c>
      <c r="N64" s="17">
        <v>6</v>
      </c>
      <c r="O64" s="17">
        <v>6</v>
      </c>
      <c r="P64" s="17">
        <v>7</v>
      </c>
      <c r="Q64" s="17">
        <v>6</v>
      </c>
      <c r="R64" s="17">
        <v>8</v>
      </c>
      <c r="S64" s="17">
        <v>8</v>
      </c>
      <c r="T64" s="17">
        <v>8</v>
      </c>
      <c r="U64" s="17">
        <v>8</v>
      </c>
      <c r="V64" s="17">
        <v>8</v>
      </c>
      <c r="W64" s="17">
        <v>8</v>
      </c>
      <c r="X64" s="17">
        <v>9</v>
      </c>
      <c r="Y64" s="17">
        <v>8</v>
      </c>
      <c r="Z64" s="17">
        <v>9</v>
      </c>
      <c r="AA64" s="17"/>
      <c r="AB64" s="17"/>
      <c r="AC64" s="7"/>
    </row>
    <row r="65" spans="1:29" x14ac:dyDescent="0.2">
      <c r="A65" s="13">
        <v>191120017</v>
      </c>
      <c r="B65" s="17">
        <v>14</v>
      </c>
      <c r="C65" s="17">
        <v>15</v>
      </c>
      <c r="D65" s="17">
        <v>19</v>
      </c>
      <c r="E65" s="17">
        <v>20</v>
      </c>
      <c r="F65" s="17">
        <v>22</v>
      </c>
      <c r="G65" s="17">
        <v>24</v>
      </c>
      <c r="H65" s="17">
        <v>26</v>
      </c>
      <c r="I65" s="17">
        <v>28</v>
      </c>
      <c r="J65" s="17">
        <v>31</v>
      </c>
      <c r="K65" s="17">
        <v>33</v>
      </c>
      <c r="L65" s="17">
        <v>35</v>
      </c>
      <c r="M65" s="17">
        <v>37</v>
      </c>
      <c r="N65" s="17">
        <v>38</v>
      </c>
      <c r="O65" s="17">
        <v>41</v>
      </c>
      <c r="P65" s="17">
        <v>43</v>
      </c>
      <c r="Q65" s="17">
        <v>45</v>
      </c>
      <c r="R65" s="17">
        <v>47</v>
      </c>
      <c r="S65" s="17">
        <v>48</v>
      </c>
      <c r="T65" s="17">
        <v>48</v>
      </c>
      <c r="U65" s="17">
        <v>48</v>
      </c>
      <c r="V65" s="17">
        <v>49</v>
      </c>
      <c r="W65" s="17">
        <v>49</v>
      </c>
      <c r="X65" s="17">
        <v>52</v>
      </c>
      <c r="Y65" s="17">
        <v>54</v>
      </c>
      <c r="Z65" s="17">
        <v>55</v>
      </c>
      <c r="AA65" s="17"/>
      <c r="AB65" s="17"/>
      <c r="AC65" s="5"/>
    </row>
    <row r="66" spans="1:29" x14ac:dyDescent="0.2">
      <c r="A66" s="13">
        <v>192200044</v>
      </c>
      <c r="B66" s="17">
        <v>0</v>
      </c>
      <c r="C66" s="17">
        <v>0</v>
      </c>
      <c r="D66" s="17">
        <v>0</v>
      </c>
      <c r="E66" s="17">
        <v>0</v>
      </c>
      <c r="F66" s="17">
        <v>5</v>
      </c>
      <c r="G66" s="17">
        <v>15</v>
      </c>
      <c r="H66" s="17">
        <v>20</v>
      </c>
      <c r="I66" s="17">
        <v>4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1</v>
      </c>
      <c r="Q66" s="17">
        <v>1</v>
      </c>
      <c r="R66" s="17">
        <v>1</v>
      </c>
      <c r="S66" s="17">
        <v>2</v>
      </c>
      <c r="T66" s="17">
        <v>2</v>
      </c>
      <c r="U66" s="17">
        <v>2</v>
      </c>
      <c r="V66" s="17">
        <v>0</v>
      </c>
      <c r="W66" s="17">
        <v>2</v>
      </c>
      <c r="X66" s="17">
        <v>2</v>
      </c>
      <c r="Y66" s="17">
        <v>2</v>
      </c>
      <c r="Z66" s="17">
        <v>2</v>
      </c>
      <c r="AA66" s="17"/>
      <c r="AB66" s="17"/>
      <c r="AC66" s="5"/>
    </row>
    <row r="67" spans="1:29" x14ac:dyDescent="0.2">
      <c r="A67" s="13">
        <v>193030013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25</v>
      </c>
      <c r="K67" s="17">
        <v>0</v>
      </c>
      <c r="L67" s="17">
        <v>0</v>
      </c>
      <c r="M67" s="17">
        <v>0</v>
      </c>
      <c r="N67" s="17">
        <v>13</v>
      </c>
      <c r="O67" s="17">
        <v>31</v>
      </c>
      <c r="P67" s="17">
        <v>0</v>
      </c>
      <c r="Q67" s="17">
        <v>0</v>
      </c>
      <c r="R67" s="17">
        <v>10</v>
      </c>
      <c r="S67" s="17">
        <v>10</v>
      </c>
      <c r="T67" s="17">
        <v>7</v>
      </c>
      <c r="U67" s="17">
        <v>8</v>
      </c>
      <c r="V67" s="17">
        <v>10</v>
      </c>
      <c r="W67" s="17">
        <v>6</v>
      </c>
      <c r="X67" s="17">
        <v>8</v>
      </c>
      <c r="Y67" s="17">
        <v>5</v>
      </c>
      <c r="Z67" s="17">
        <v>8</v>
      </c>
      <c r="AA67" s="17"/>
      <c r="AB67" s="17"/>
      <c r="AC67" s="7"/>
    </row>
    <row r="68" spans="1:29" x14ac:dyDescent="0.2">
      <c r="A68" s="13">
        <v>198160034</v>
      </c>
      <c r="B68" s="17">
        <v>20</v>
      </c>
      <c r="C68" s="17">
        <v>22</v>
      </c>
      <c r="D68" s="17">
        <v>25</v>
      </c>
      <c r="E68" s="17">
        <v>28</v>
      </c>
      <c r="F68" s="17">
        <v>30</v>
      </c>
      <c r="G68" s="17">
        <v>32</v>
      </c>
      <c r="H68" s="17">
        <v>35</v>
      </c>
      <c r="I68" s="17">
        <v>38</v>
      </c>
      <c r="J68" s="17">
        <v>40</v>
      </c>
      <c r="K68" s="17">
        <v>42</v>
      </c>
      <c r="L68" s="17">
        <v>44</v>
      </c>
      <c r="M68" s="17">
        <v>48</v>
      </c>
      <c r="N68" s="17">
        <v>49</v>
      </c>
      <c r="O68" s="17">
        <v>53</v>
      </c>
      <c r="P68" s="17">
        <v>54</v>
      </c>
      <c r="Q68" s="17">
        <v>55</v>
      </c>
      <c r="R68" s="17">
        <v>56</v>
      </c>
      <c r="S68" s="17">
        <v>58</v>
      </c>
      <c r="T68" s="17">
        <v>59</v>
      </c>
      <c r="U68" s="17">
        <v>61</v>
      </c>
      <c r="V68" s="17">
        <v>64</v>
      </c>
      <c r="W68" s="17">
        <v>65</v>
      </c>
      <c r="X68" s="17">
        <v>66</v>
      </c>
      <c r="Y68" s="17">
        <v>64</v>
      </c>
      <c r="Z68" s="17">
        <v>35</v>
      </c>
      <c r="AA68" s="17"/>
      <c r="AB68" s="17"/>
      <c r="AC68" s="7"/>
    </row>
    <row r="69" spans="1:29" x14ac:dyDescent="0.2">
      <c r="A69" s="13" t="s">
        <v>32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8</v>
      </c>
      <c r="I69" s="17">
        <v>10</v>
      </c>
      <c r="J69" s="17">
        <v>13</v>
      </c>
      <c r="K69" s="17">
        <v>16</v>
      </c>
      <c r="L69" s="17">
        <v>17</v>
      </c>
      <c r="M69" s="17">
        <v>20</v>
      </c>
      <c r="N69" s="17">
        <v>21</v>
      </c>
      <c r="O69" s="17">
        <v>24</v>
      </c>
      <c r="P69" s="17">
        <v>27</v>
      </c>
      <c r="Q69" s="17">
        <v>28</v>
      </c>
      <c r="R69" s="17">
        <v>31</v>
      </c>
      <c r="S69" s="17">
        <v>33</v>
      </c>
      <c r="T69" s="17">
        <v>20</v>
      </c>
      <c r="U69" s="17">
        <v>15</v>
      </c>
      <c r="V69" s="17">
        <v>16</v>
      </c>
      <c r="W69" s="17">
        <v>11</v>
      </c>
      <c r="X69" s="17">
        <v>10</v>
      </c>
      <c r="Y69" s="17">
        <v>8</v>
      </c>
      <c r="Z69" s="17">
        <v>8</v>
      </c>
      <c r="AA69" s="17"/>
      <c r="AB69" s="17"/>
      <c r="AC69" s="7"/>
    </row>
    <row r="70" spans="1:29" x14ac:dyDescent="0.2">
      <c r="A70" s="13">
        <v>201130004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8</v>
      </c>
      <c r="O70" s="17">
        <v>15</v>
      </c>
      <c r="P70" s="17">
        <v>18</v>
      </c>
      <c r="Q70" s="17">
        <v>23</v>
      </c>
      <c r="R70" s="17">
        <v>28</v>
      </c>
      <c r="S70" s="17">
        <v>30</v>
      </c>
      <c r="T70" s="17">
        <v>36</v>
      </c>
      <c r="U70" s="17">
        <v>40</v>
      </c>
      <c r="V70" s="17">
        <v>40</v>
      </c>
      <c r="W70" s="17">
        <v>45</v>
      </c>
      <c r="X70" s="17">
        <v>49</v>
      </c>
      <c r="Y70" s="17">
        <v>50</v>
      </c>
      <c r="Z70" s="17">
        <v>53</v>
      </c>
      <c r="AA70" s="17"/>
      <c r="AB70" s="17"/>
      <c r="AC70" s="7"/>
    </row>
    <row r="71" spans="1:29" x14ac:dyDescent="0.2">
      <c r="A71" s="13">
        <v>201130031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25</v>
      </c>
      <c r="I71" s="17">
        <v>34</v>
      </c>
      <c r="J71" s="17">
        <v>34</v>
      </c>
      <c r="K71" s="17">
        <v>35</v>
      </c>
      <c r="L71" s="17">
        <v>24</v>
      </c>
      <c r="M71" s="17">
        <v>20</v>
      </c>
      <c r="N71" s="17">
        <v>21</v>
      </c>
      <c r="O71" s="17">
        <v>21</v>
      </c>
      <c r="P71" s="17">
        <v>16</v>
      </c>
      <c r="Q71" s="17">
        <v>18</v>
      </c>
      <c r="R71" s="17">
        <v>17</v>
      </c>
      <c r="S71" s="17">
        <v>17</v>
      </c>
      <c r="T71" s="17">
        <v>17</v>
      </c>
      <c r="U71" s="17">
        <v>15</v>
      </c>
      <c r="V71" s="17">
        <v>15</v>
      </c>
      <c r="W71" s="17">
        <v>15</v>
      </c>
      <c r="X71" s="17">
        <v>12</v>
      </c>
      <c r="Y71" s="17">
        <v>15</v>
      </c>
      <c r="Z71" s="17">
        <v>10</v>
      </c>
      <c r="AC71" s="7"/>
    </row>
    <row r="72" spans="1:29" x14ac:dyDescent="0.2">
      <c r="A72" s="13">
        <v>201270007</v>
      </c>
      <c r="B72" s="17">
        <v>0</v>
      </c>
      <c r="C72" s="17">
        <v>0</v>
      </c>
      <c r="D72" s="17">
        <v>1</v>
      </c>
      <c r="E72" s="17">
        <v>5</v>
      </c>
      <c r="F72" s="17">
        <v>12</v>
      </c>
      <c r="G72" s="17">
        <v>13</v>
      </c>
      <c r="H72" s="17">
        <v>20</v>
      </c>
      <c r="I72" s="17">
        <v>23</v>
      </c>
      <c r="J72" s="17">
        <v>27</v>
      </c>
      <c r="K72" s="17">
        <v>29</v>
      </c>
      <c r="L72" s="17">
        <v>31</v>
      </c>
      <c r="M72" s="17">
        <v>34</v>
      </c>
      <c r="N72" s="17">
        <v>36</v>
      </c>
      <c r="O72" s="17">
        <v>38</v>
      </c>
      <c r="P72" s="17">
        <v>40</v>
      </c>
      <c r="Q72" s="17">
        <v>43</v>
      </c>
      <c r="R72" s="17">
        <v>43</v>
      </c>
      <c r="S72" s="17">
        <v>45</v>
      </c>
      <c r="T72" s="17">
        <v>46</v>
      </c>
      <c r="U72" s="17">
        <v>48</v>
      </c>
      <c r="V72" s="17">
        <v>49</v>
      </c>
      <c r="W72" s="17">
        <v>49</v>
      </c>
      <c r="X72" s="17">
        <v>51</v>
      </c>
      <c r="Y72" s="17">
        <v>51</v>
      </c>
      <c r="Z72" s="17">
        <v>52</v>
      </c>
      <c r="AC72" s="7"/>
    </row>
    <row r="73" spans="1:29" x14ac:dyDescent="0.2">
      <c r="A73" s="13">
        <v>201270034</v>
      </c>
      <c r="B73" s="17">
        <v>0</v>
      </c>
      <c r="C73" s="17">
        <v>0</v>
      </c>
      <c r="D73" s="17">
        <v>0</v>
      </c>
      <c r="E73" s="17">
        <v>0</v>
      </c>
      <c r="F73" s="17">
        <v>2</v>
      </c>
      <c r="G73" s="17">
        <v>5</v>
      </c>
      <c r="H73" s="17">
        <v>11</v>
      </c>
      <c r="I73" s="17">
        <v>15</v>
      </c>
      <c r="J73" s="17">
        <v>17</v>
      </c>
      <c r="K73" s="17">
        <v>20</v>
      </c>
      <c r="L73" s="17">
        <v>22</v>
      </c>
      <c r="M73" s="17">
        <v>24</v>
      </c>
      <c r="N73" s="17">
        <v>24</v>
      </c>
      <c r="O73" s="17">
        <v>27</v>
      </c>
      <c r="P73" s="17">
        <v>29</v>
      </c>
      <c r="Q73" s="17">
        <v>30</v>
      </c>
      <c r="R73" s="17">
        <v>31</v>
      </c>
      <c r="S73" s="17">
        <v>35</v>
      </c>
      <c r="T73" s="17">
        <v>36</v>
      </c>
      <c r="U73" s="17">
        <v>37</v>
      </c>
      <c r="V73" s="17">
        <v>38</v>
      </c>
      <c r="W73" s="17">
        <v>40</v>
      </c>
      <c r="X73" s="17">
        <v>41</v>
      </c>
      <c r="Y73" s="17">
        <v>42</v>
      </c>
      <c r="Z73" s="17">
        <v>43</v>
      </c>
      <c r="AC73" s="7"/>
    </row>
    <row r="74" spans="1:29" x14ac:dyDescent="0.2">
      <c r="A74" s="13">
        <v>209240024</v>
      </c>
      <c r="B74" s="17">
        <v>12</v>
      </c>
      <c r="C74" s="17">
        <v>16</v>
      </c>
      <c r="D74" s="17">
        <v>17</v>
      </c>
      <c r="E74" s="17">
        <v>21</v>
      </c>
      <c r="F74" s="17">
        <v>24</v>
      </c>
      <c r="G74" s="17">
        <v>26</v>
      </c>
      <c r="H74" s="17">
        <v>29</v>
      </c>
      <c r="I74" s="17">
        <v>30</v>
      </c>
      <c r="J74" s="17">
        <v>32</v>
      </c>
      <c r="K74" s="17">
        <v>36</v>
      </c>
      <c r="L74" s="17">
        <v>38</v>
      </c>
      <c r="M74" s="17">
        <v>40</v>
      </c>
      <c r="N74" s="17">
        <v>43</v>
      </c>
      <c r="O74" s="17">
        <v>43</v>
      </c>
      <c r="P74" s="17">
        <v>45</v>
      </c>
      <c r="Q74" s="17">
        <v>48</v>
      </c>
      <c r="R74" s="17">
        <v>51</v>
      </c>
      <c r="S74" s="17">
        <v>52</v>
      </c>
      <c r="T74" s="17">
        <v>54</v>
      </c>
      <c r="U74" s="17">
        <v>56</v>
      </c>
      <c r="V74" s="17">
        <v>58</v>
      </c>
      <c r="W74" s="17">
        <v>60</v>
      </c>
      <c r="X74" s="17">
        <v>62</v>
      </c>
      <c r="Y74" s="17">
        <v>64</v>
      </c>
      <c r="Z74" s="17">
        <v>67</v>
      </c>
      <c r="AC74" s="7"/>
    </row>
    <row r="75" spans="1:29" x14ac:dyDescent="0.2">
      <c r="A75" s="13">
        <v>217120034</v>
      </c>
      <c r="B75" s="17">
        <v>11</v>
      </c>
      <c r="C75" s="17">
        <v>10</v>
      </c>
      <c r="D75" s="17">
        <v>19</v>
      </c>
      <c r="E75" s="17">
        <v>16</v>
      </c>
      <c r="F75" s="17">
        <v>13</v>
      </c>
      <c r="G75" s="17">
        <v>11</v>
      </c>
      <c r="H75" s="17">
        <v>15</v>
      </c>
      <c r="I75" s="17">
        <v>14</v>
      </c>
      <c r="J75" s="17">
        <v>17</v>
      </c>
      <c r="K75" s="17">
        <v>12</v>
      </c>
      <c r="L75" s="17">
        <v>10</v>
      </c>
      <c r="M75" s="17">
        <v>12</v>
      </c>
      <c r="N75" s="17">
        <v>8</v>
      </c>
      <c r="O75" s="17">
        <v>13</v>
      </c>
      <c r="P75" s="17">
        <v>7</v>
      </c>
      <c r="Q75" s="17">
        <v>10</v>
      </c>
      <c r="R75" s="17">
        <v>8</v>
      </c>
      <c r="S75" s="17">
        <v>9</v>
      </c>
      <c r="T75" s="17">
        <v>7</v>
      </c>
      <c r="U75" s="17">
        <v>9</v>
      </c>
      <c r="V75" s="17">
        <v>6</v>
      </c>
      <c r="W75" s="17">
        <v>8</v>
      </c>
      <c r="X75" s="17">
        <v>6</v>
      </c>
      <c r="Y75" s="17">
        <v>6</v>
      </c>
      <c r="Z75" s="17">
        <v>7</v>
      </c>
      <c r="AC75" s="7"/>
    </row>
    <row r="76" spans="1:29" x14ac:dyDescent="0.2">
      <c r="A76" s="13" t="s">
        <v>33</v>
      </c>
      <c r="B76" s="85">
        <v>54.5</v>
      </c>
      <c r="C76" s="85">
        <v>52</v>
      </c>
      <c r="D76" s="85">
        <v>59.5</v>
      </c>
      <c r="E76" s="85">
        <v>59</v>
      </c>
      <c r="F76" s="85">
        <v>57</v>
      </c>
      <c r="G76" s="85">
        <v>58.5</v>
      </c>
      <c r="H76" s="85">
        <v>59</v>
      </c>
      <c r="I76" s="85">
        <v>65.5</v>
      </c>
      <c r="J76" s="85">
        <v>66</v>
      </c>
      <c r="K76" s="85">
        <v>67.5</v>
      </c>
      <c r="L76" s="85">
        <v>68</v>
      </c>
      <c r="M76" s="85">
        <v>72.5</v>
      </c>
      <c r="N76" s="85">
        <v>76</v>
      </c>
      <c r="O76" s="85">
        <v>80.5</v>
      </c>
      <c r="P76" s="85">
        <v>82</v>
      </c>
      <c r="Q76" s="85">
        <v>83.5</v>
      </c>
      <c r="R76" s="85">
        <v>87</v>
      </c>
      <c r="S76" s="85">
        <v>58.5</v>
      </c>
      <c r="T76" s="17">
        <v>96</v>
      </c>
      <c r="U76" s="17">
        <v>71</v>
      </c>
      <c r="V76" s="17">
        <v>9</v>
      </c>
      <c r="W76" s="17">
        <v>5</v>
      </c>
      <c r="X76" s="17">
        <v>12</v>
      </c>
      <c r="Y76" s="17">
        <v>9</v>
      </c>
      <c r="Z76" s="17">
        <v>22</v>
      </c>
      <c r="AC76" s="5"/>
    </row>
    <row r="77" spans="1:29" x14ac:dyDescent="0.2">
      <c r="A77" s="13" t="s">
        <v>34</v>
      </c>
      <c r="B77" s="17">
        <v>60</v>
      </c>
      <c r="C77" s="17">
        <v>55</v>
      </c>
      <c r="D77" s="17">
        <v>65</v>
      </c>
      <c r="E77" s="17">
        <v>51</v>
      </c>
      <c r="F77" s="17">
        <v>68</v>
      </c>
      <c r="G77" s="17">
        <v>50</v>
      </c>
      <c r="H77" s="17">
        <v>39</v>
      </c>
      <c r="I77" s="17">
        <v>44</v>
      </c>
      <c r="J77" s="17">
        <v>40</v>
      </c>
      <c r="K77" s="17">
        <v>38</v>
      </c>
      <c r="L77" s="17">
        <v>37</v>
      </c>
      <c r="M77" s="17">
        <v>34</v>
      </c>
      <c r="N77" s="17">
        <v>32</v>
      </c>
      <c r="O77" s="17">
        <v>31</v>
      </c>
      <c r="P77" s="17">
        <v>28</v>
      </c>
      <c r="Q77" s="17">
        <v>26</v>
      </c>
      <c r="R77" s="17">
        <v>19</v>
      </c>
      <c r="S77" s="17">
        <v>22</v>
      </c>
      <c r="T77" s="17">
        <v>11</v>
      </c>
      <c r="U77" s="17">
        <v>20</v>
      </c>
      <c r="V77" s="17">
        <v>18</v>
      </c>
      <c r="W77" s="17">
        <v>16</v>
      </c>
      <c r="X77" s="17">
        <v>9</v>
      </c>
      <c r="Y77" s="17">
        <v>10</v>
      </c>
      <c r="Z77" s="17">
        <v>16</v>
      </c>
      <c r="AC77" s="5"/>
    </row>
    <row r="78" spans="1:29" x14ac:dyDescent="0.2">
      <c r="A78" s="13" t="s">
        <v>163</v>
      </c>
      <c r="B78" s="17">
        <v>35</v>
      </c>
      <c r="C78" s="17">
        <v>26</v>
      </c>
      <c r="D78" s="17">
        <v>22</v>
      </c>
      <c r="E78" s="17">
        <v>21</v>
      </c>
      <c r="F78" s="17">
        <v>23</v>
      </c>
      <c r="G78" s="17">
        <v>24</v>
      </c>
      <c r="H78" s="17">
        <v>29</v>
      </c>
      <c r="I78" s="17">
        <v>30</v>
      </c>
      <c r="J78" s="17">
        <v>33</v>
      </c>
      <c r="K78" s="17">
        <v>37</v>
      </c>
      <c r="L78" s="17">
        <v>40</v>
      </c>
      <c r="M78" s="17">
        <v>40</v>
      </c>
      <c r="N78" s="17">
        <v>48</v>
      </c>
      <c r="O78" s="17">
        <v>49</v>
      </c>
      <c r="P78" s="17">
        <v>48</v>
      </c>
      <c r="Q78" s="17">
        <v>30</v>
      </c>
      <c r="R78" s="17">
        <v>0</v>
      </c>
      <c r="S78" s="17">
        <v>9</v>
      </c>
      <c r="T78" s="17">
        <v>7</v>
      </c>
      <c r="U78" s="17">
        <v>7</v>
      </c>
      <c r="V78" s="17">
        <v>6</v>
      </c>
      <c r="W78" s="17">
        <v>5</v>
      </c>
      <c r="X78" s="17">
        <v>4</v>
      </c>
      <c r="Y78" s="17">
        <v>5</v>
      </c>
      <c r="Z78" s="17">
        <v>5</v>
      </c>
      <c r="AA78" s="17"/>
      <c r="AB78" s="17"/>
      <c r="AC78" s="5"/>
    </row>
    <row r="79" spans="1:29" x14ac:dyDescent="0.2">
      <c r="A79" s="13">
        <v>251090017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6</v>
      </c>
      <c r="I79" s="17">
        <v>11</v>
      </c>
      <c r="J79" s="17">
        <v>16</v>
      </c>
      <c r="K79" s="17">
        <v>18</v>
      </c>
      <c r="L79" s="17">
        <v>19</v>
      </c>
      <c r="M79" s="17">
        <v>23</v>
      </c>
      <c r="N79" s="17">
        <v>25</v>
      </c>
      <c r="O79" s="17">
        <v>26</v>
      </c>
      <c r="P79" s="17">
        <v>23</v>
      </c>
      <c r="Q79" s="17">
        <v>18</v>
      </c>
      <c r="R79" s="17">
        <v>14</v>
      </c>
      <c r="S79" s="17">
        <v>11</v>
      </c>
      <c r="T79" s="17">
        <v>8</v>
      </c>
      <c r="U79" s="17">
        <v>5</v>
      </c>
      <c r="V79" s="17">
        <v>5</v>
      </c>
      <c r="W79" s="17">
        <v>4</v>
      </c>
      <c r="X79" s="17">
        <v>4</v>
      </c>
      <c r="Y79" s="17">
        <v>4</v>
      </c>
      <c r="Z79" s="17">
        <v>3</v>
      </c>
      <c r="AA79" s="17"/>
      <c r="AB79" s="17"/>
      <c r="AC79" s="5"/>
    </row>
    <row r="80" spans="1:29" x14ac:dyDescent="0.2">
      <c r="A80" s="13">
        <v>251160011</v>
      </c>
      <c r="B80" s="17">
        <v>0</v>
      </c>
      <c r="C80" s="17">
        <v>0</v>
      </c>
      <c r="D80" s="17">
        <v>0</v>
      </c>
      <c r="E80" s="17">
        <v>0</v>
      </c>
      <c r="F80" s="17">
        <v>2</v>
      </c>
      <c r="G80" s="17">
        <v>8</v>
      </c>
      <c r="H80" s="17">
        <v>12</v>
      </c>
      <c r="I80" s="17">
        <v>16</v>
      </c>
      <c r="J80" s="17">
        <v>21</v>
      </c>
      <c r="K80" s="17">
        <v>23</v>
      </c>
      <c r="L80" s="17">
        <v>25</v>
      </c>
      <c r="M80" s="17">
        <v>29</v>
      </c>
      <c r="N80" s="17">
        <v>14</v>
      </c>
      <c r="O80" s="17">
        <v>3</v>
      </c>
      <c r="P80" s="17">
        <v>3</v>
      </c>
      <c r="Q80" s="17">
        <v>1</v>
      </c>
      <c r="R80" s="17">
        <v>1</v>
      </c>
      <c r="S80" s="17">
        <v>2</v>
      </c>
      <c r="T80" s="17">
        <v>1</v>
      </c>
      <c r="U80" s="17">
        <v>2</v>
      </c>
      <c r="V80" s="17">
        <v>1</v>
      </c>
      <c r="W80" s="17">
        <v>2</v>
      </c>
      <c r="X80" s="17">
        <v>0</v>
      </c>
      <c r="Y80" s="17">
        <v>1</v>
      </c>
      <c r="Z80" s="17">
        <v>1</v>
      </c>
      <c r="AA80" s="17"/>
      <c r="AB80" s="17"/>
      <c r="AC80" s="5"/>
    </row>
    <row r="81" spans="1:29" x14ac:dyDescent="0.2">
      <c r="A81" s="13">
        <v>251160026</v>
      </c>
      <c r="B81" s="17">
        <v>0</v>
      </c>
      <c r="C81" s="17">
        <v>0</v>
      </c>
      <c r="D81" s="17">
        <v>0</v>
      </c>
      <c r="E81" s="17">
        <v>1</v>
      </c>
      <c r="F81" s="17">
        <v>1</v>
      </c>
      <c r="G81" s="17">
        <v>9</v>
      </c>
      <c r="H81" s="17">
        <v>12</v>
      </c>
      <c r="I81" s="17">
        <v>18</v>
      </c>
      <c r="J81" s="17">
        <v>22</v>
      </c>
      <c r="K81" s="17">
        <v>24</v>
      </c>
      <c r="L81" s="17">
        <v>28</v>
      </c>
      <c r="M81" s="17">
        <v>23</v>
      </c>
      <c r="N81" s="17">
        <v>18</v>
      </c>
      <c r="O81" s="17">
        <v>6</v>
      </c>
      <c r="P81" s="17">
        <v>7</v>
      </c>
      <c r="Q81" s="17">
        <v>8</v>
      </c>
      <c r="R81" s="17">
        <v>9</v>
      </c>
      <c r="S81" s="17">
        <v>9</v>
      </c>
      <c r="T81" s="17">
        <v>9</v>
      </c>
      <c r="U81" s="17">
        <v>13</v>
      </c>
      <c r="V81" s="17">
        <v>11</v>
      </c>
      <c r="W81" s="17">
        <v>12</v>
      </c>
      <c r="X81" s="17">
        <v>10</v>
      </c>
      <c r="Y81" s="17">
        <v>10</v>
      </c>
      <c r="Z81" s="17">
        <v>11</v>
      </c>
      <c r="AA81" s="17"/>
      <c r="AB81" s="17"/>
      <c r="AC81" s="5"/>
    </row>
    <row r="82" spans="1:29" x14ac:dyDescent="0.2">
      <c r="A82" s="13">
        <v>253190028</v>
      </c>
      <c r="B82" s="17">
        <v>0</v>
      </c>
      <c r="C82" s="17">
        <v>0</v>
      </c>
      <c r="D82" s="17">
        <v>1</v>
      </c>
      <c r="E82" s="17">
        <v>4</v>
      </c>
      <c r="F82" s="17">
        <v>0</v>
      </c>
      <c r="G82" s="17">
        <v>0</v>
      </c>
      <c r="H82" s="17">
        <v>1</v>
      </c>
      <c r="I82" s="17">
        <v>2</v>
      </c>
      <c r="J82" s="17">
        <v>2</v>
      </c>
      <c r="K82" s="17">
        <v>2</v>
      </c>
      <c r="L82" s="17">
        <v>0</v>
      </c>
      <c r="M82" s="17">
        <v>1</v>
      </c>
      <c r="N82" s="17">
        <v>3</v>
      </c>
      <c r="O82" s="17">
        <v>3</v>
      </c>
      <c r="P82" s="17">
        <v>5</v>
      </c>
      <c r="Q82" s="17">
        <v>6</v>
      </c>
      <c r="R82" s="17">
        <v>5</v>
      </c>
      <c r="S82" s="17">
        <v>7</v>
      </c>
      <c r="T82" s="17">
        <v>7</v>
      </c>
      <c r="U82" s="17">
        <v>6</v>
      </c>
      <c r="V82" s="17">
        <v>5</v>
      </c>
      <c r="W82" s="17">
        <v>6</v>
      </c>
      <c r="X82" s="17">
        <v>5</v>
      </c>
      <c r="Y82" s="17">
        <v>6</v>
      </c>
      <c r="Z82" s="17">
        <v>4</v>
      </c>
      <c r="AA82" s="85"/>
      <c r="AB82" s="85"/>
      <c r="AC82" s="5"/>
    </row>
    <row r="83" spans="1:29" x14ac:dyDescent="0.2">
      <c r="A83" s="13">
        <v>254020031</v>
      </c>
      <c r="B83" s="17">
        <v>0</v>
      </c>
      <c r="C83" s="17">
        <v>5</v>
      </c>
      <c r="D83" s="17">
        <v>11</v>
      </c>
      <c r="E83" s="17">
        <v>15</v>
      </c>
      <c r="F83" s="17">
        <v>23</v>
      </c>
      <c r="G83" s="17">
        <v>25</v>
      </c>
      <c r="H83" s="17">
        <v>28</v>
      </c>
      <c r="I83" s="17">
        <v>32</v>
      </c>
      <c r="J83" s="17">
        <v>13</v>
      </c>
      <c r="K83" s="17">
        <v>0</v>
      </c>
      <c r="L83" s="17">
        <v>35</v>
      </c>
      <c r="M83" s="17">
        <v>3</v>
      </c>
      <c r="N83" s="17">
        <v>3</v>
      </c>
      <c r="O83" s="17">
        <v>2</v>
      </c>
      <c r="P83" s="17">
        <v>3</v>
      </c>
      <c r="Q83" s="17">
        <v>3</v>
      </c>
      <c r="R83" s="17">
        <v>1</v>
      </c>
      <c r="S83" s="17">
        <v>2</v>
      </c>
      <c r="T83" s="17">
        <v>2</v>
      </c>
      <c r="U83" s="17">
        <v>2</v>
      </c>
      <c r="V83" s="17">
        <v>2</v>
      </c>
      <c r="W83" s="17">
        <v>2</v>
      </c>
      <c r="X83" s="17">
        <v>1</v>
      </c>
      <c r="Y83" s="17">
        <v>1</v>
      </c>
      <c r="Z83" s="17">
        <v>1</v>
      </c>
      <c r="AA83" s="87"/>
      <c r="AB83" s="87"/>
      <c r="AC83" s="5"/>
    </row>
    <row r="84" spans="1:29" x14ac:dyDescent="0.2">
      <c r="A84" s="13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</row>
    <row r="85" spans="1:29" x14ac:dyDescent="0.2">
      <c r="A85" s="13"/>
    </row>
    <row r="86" spans="1:29" x14ac:dyDescent="0.2">
      <c r="A86" s="13"/>
      <c r="AC86" s="2"/>
    </row>
    <row r="87" spans="1:29" x14ac:dyDescent="0.2">
      <c r="A87" s="13" t="s">
        <v>0</v>
      </c>
      <c r="B87" s="85">
        <f t="shared" ref="B87:Z87" si="8">COUNT(B49:B86)</f>
        <v>34</v>
      </c>
      <c r="C87" s="85">
        <f t="shared" si="8"/>
        <v>28</v>
      </c>
      <c r="D87" s="85">
        <f t="shared" si="8"/>
        <v>35</v>
      </c>
      <c r="E87" s="85">
        <f t="shared" si="8"/>
        <v>30</v>
      </c>
      <c r="F87" s="85">
        <f t="shared" si="8"/>
        <v>35</v>
      </c>
      <c r="G87" s="85">
        <f t="shared" si="8"/>
        <v>30</v>
      </c>
      <c r="H87" s="85">
        <f t="shared" si="8"/>
        <v>35</v>
      </c>
      <c r="I87" s="85">
        <f t="shared" si="8"/>
        <v>29</v>
      </c>
      <c r="J87" s="85">
        <f t="shared" si="8"/>
        <v>35</v>
      </c>
      <c r="K87" s="85">
        <f t="shared" si="8"/>
        <v>27</v>
      </c>
      <c r="L87" s="85">
        <f t="shared" si="8"/>
        <v>35</v>
      </c>
      <c r="M87" s="85">
        <f t="shared" si="8"/>
        <v>27</v>
      </c>
      <c r="N87" s="85">
        <f t="shared" si="8"/>
        <v>35</v>
      </c>
      <c r="O87" s="85">
        <f t="shared" si="8"/>
        <v>27</v>
      </c>
      <c r="P87" s="85">
        <f t="shared" si="8"/>
        <v>35</v>
      </c>
      <c r="Q87" s="85">
        <f t="shared" si="8"/>
        <v>26</v>
      </c>
      <c r="R87" s="85">
        <f t="shared" si="8"/>
        <v>34</v>
      </c>
      <c r="S87" s="85">
        <f t="shared" si="8"/>
        <v>25</v>
      </c>
      <c r="T87" s="85">
        <f t="shared" si="8"/>
        <v>32</v>
      </c>
      <c r="U87" s="85">
        <f t="shared" si="8"/>
        <v>25</v>
      </c>
      <c r="V87" s="85">
        <f t="shared" si="8"/>
        <v>33</v>
      </c>
      <c r="W87" s="85">
        <f t="shared" si="8"/>
        <v>25</v>
      </c>
      <c r="X87" s="85">
        <f t="shared" si="8"/>
        <v>33</v>
      </c>
      <c r="Y87" s="85">
        <f t="shared" si="8"/>
        <v>25</v>
      </c>
      <c r="Z87" s="85">
        <f t="shared" si="8"/>
        <v>34</v>
      </c>
      <c r="AC87" s="2"/>
    </row>
    <row r="88" spans="1:29" x14ac:dyDescent="0.2">
      <c r="A88" s="13" t="s">
        <v>1</v>
      </c>
      <c r="B88" s="85">
        <f t="shared" ref="B88:Z88" si="9">AVERAGE(B49:B86)</f>
        <v>6.2794117647058822</v>
      </c>
      <c r="C88" s="85">
        <f t="shared" si="9"/>
        <v>7.6964285714285712</v>
      </c>
      <c r="D88" s="85">
        <f t="shared" si="9"/>
        <v>8.0142857142857142</v>
      </c>
      <c r="E88" s="85">
        <f t="shared" si="9"/>
        <v>9.1333333333333329</v>
      </c>
      <c r="F88" s="85">
        <f t="shared" si="9"/>
        <v>10.142857142857142</v>
      </c>
      <c r="G88" s="85">
        <f t="shared" si="9"/>
        <v>12.483333333333333</v>
      </c>
      <c r="H88" s="85">
        <f t="shared" si="9"/>
        <v>14.185714285714285</v>
      </c>
      <c r="I88" s="85">
        <f t="shared" si="9"/>
        <v>18</v>
      </c>
      <c r="J88" s="85">
        <f t="shared" si="9"/>
        <v>20.642857142857142</v>
      </c>
      <c r="K88" s="85">
        <f t="shared" si="9"/>
        <v>20.685185185185187</v>
      </c>
      <c r="L88" s="85">
        <f t="shared" si="9"/>
        <v>23.757142857142856</v>
      </c>
      <c r="M88" s="85">
        <f t="shared" si="9"/>
        <v>23.24074074074074</v>
      </c>
      <c r="N88" s="85">
        <f t="shared" si="9"/>
        <v>24.971428571428572</v>
      </c>
      <c r="O88" s="85">
        <f t="shared" si="9"/>
        <v>25.018518518518519</v>
      </c>
      <c r="P88" s="85">
        <f t="shared" si="9"/>
        <v>24.214285714285715</v>
      </c>
      <c r="Q88" s="85">
        <f t="shared" si="9"/>
        <v>23.98076923076923</v>
      </c>
      <c r="R88" s="85">
        <f t="shared" si="9"/>
        <v>25.397058823529413</v>
      </c>
      <c r="S88" s="85">
        <f t="shared" si="9"/>
        <v>24.74</v>
      </c>
      <c r="T88" s="85">
        <f t="shared" si="9"/>
        <v>27.5625</v>
      </c>
      <c r="U88" s="85">
        <f t="shared" si="9"/>
        <v>25.54</v>
      </c>
      <c r="V88" s="85">
        <f t="shared" si="9"/>
        <v>25.803030303030305</v>
      </c>
      <c r="W88" s="85">
        <f t="shared" si="9"/>
        <v>23.22</v>
      </c>
      <c r="X88" s="85">
        <f t="shared" si="9"/>
        <v>26.424242424242426</v>
      </c>
      <c r="Y88" s="85">
        <f t="shared" si="9"/>
        <v>23.64</v>
      </c>
      <c r="Z88" s="85">
        <f t="shared" si="9"/>
        <v>25.352941176470587</v>
      </c>
      <c r="AC88" s="2"/>
    </row>
    <row r="89" spans="1:29" x14ac:dyDescent="0.2">
      <c r="A89" s="13" t="s">
        <v>2</v>
      </c>
      <c r="B89" s="85">
        <f t="shared" ref="B89:Z89" si="10">STDEV(B49:B86)</f>
        <v>14.938860842777048</v>
      </c>
      <c r="C89" s="85">
        <f t="shared" si="10"/>
        <v>14.902982106322737</v>
      </c>
      <c r="D89" s="85">
        <f t="shared" si="10"/>
        <v>15.600945349507489</v>
      </c>
      <c r="E89" s="85">
        <f t="shared" si="10"/>
        <v>15.219618313518753</v>
      </c>
      <c r="F89" s="85">
        <f t="shared" si="10"/>
        <v>16.50693768076437</v>
      </c>
      <c r="G89" s="85">
        <f t="shared" si="10"/>
        <v>16.276958186838595</v>
      </c>
      <c r="H89" s="85">
        <f t="shared" si="10"/>
        <v>15.048004418353615</v>
      </c>
      <c r="I89" s="85">
        <f t="shared" si="10"/>
        <v>17.252846556024146</v>
      </c>
      <c r="J89" s="85">
        <f t="shared" si="10"/>
        <v>17.178805096333537</v>
      </c>
      <c r="K89" s="85">
        <f t="shared" si="10"/>
        <v>18.622333649178092</v>
      </c>
      <c r="L89" s="85">
        <f t="shared" si="10"/>
        <v>18.279839195365025</v>
      </c>
      <c r="M89" s="85">
        <f t="shared" si="10"/>
        <v>19.23106979822094</v>
      </c>
      <c r="N89" s="85">
        <f t="shared" si="10"/>
        <v>19.811591547976793</v>
      </c>
      <c r="O89" s="85">
        <f t="shared" si="10"/>
        <v>21.114377839921108</v>
      </c>
      <c r="P89" s="85">
        <f t="shared" si="10"/>
        <v>20.909217540387793</v>
      </c>
      <c r="Q89" s="85">
        <f t="shared" si="10"/>
        <v>21.374976383252811</v>
      </c>
      <c r="R89" s="85">
        <f t="shared" si="10"/>
        <v>21.487057207793264</v>
      </c>
      <c r="S89" s="85">
        <f t="shared" si="10"/>
        <v>19.906615315852498</v>
      </c>
      <c r="T89" s="85">
        <f t="shared" si="10"/>
        <v>24.519824106089107</v>
      </c>
      <c r="U89" s="85">
        <f t="shared" si="10"/>
        <v>22.400669632848032</v>
      </c>
      <c r="V89" s="85">
        <f t="shared" si="10"/>
        <v>22.523577713815872</v>
      </c>
      <c r="W89" s="85">
        <f t="shared" si="10"/>
        <v>22.491702173616535</v>
      </c>
      <c r="X89" s="85">
        <f t="shared" si="10"/>
        <v>24.806791286649588</v>
      </c>
      <c r="Y89" s="85">
        <f t="shared" si="10"/>
        <v>23.444757765152247</v>
      </c>
      <c r="Z89" s="85">
        <f t="shared" si="10"/>
        <v>23.860557478997766</v>
      </c>
      <c r="AC89" s="1"/>
    </row>
    <row r="90" spans="1:29" x14ac:dyDescent="0.2">
      <c r="A90" s="13" t="s">
        <v>3</v>
      </c>
      <c r="B90" s="85">
        <f t="shared" ref="B90:Z90" si="11">B89/SQRT(B87)</f>
        <v>2.5619934981770909</v>
      </c>
      <c r="C90" s="85">
        <f t="shared" si="11"/>
        <v>2.8163988890411082</v>
      </c>
      <c r="D90" s="85">
        <f t="shared" si="11"/>
        <v>2.6370410679846636</v>
      </c>
      <c r="E90" s="85">
        <f t="shared" si="11"/>
        <v>2.7787094223109849</v>
      </c>
      <c r="F90" s="85">
        <f t="shared" si="11"/>
        <v>2.7901817226872958</v>
      </c>
      <c r="G90" s="85">
        <f t="shared" si="11"/>
        <v>2.9717523888332957</v>
      </c>
      <c r="H90" s="85">
        <f t="shared" si="11"/>
        <v>2.5435769918690148</v>
      </c>
      <c r="I90" s="85">
        <f t="shared" si="11"/>
        <v>3.2037731757376884</v>
      </c>
      <c r="J90" s="85">
        <f t="shared" si="11"/>
        <v>2.9037480436636427</v>
      </c>
      <c r="K90" s="85">
        <f t="shared" si="11"/>
        <v>3.5838697817639988</v>
      </c>
      <c r="L90" s="85">
        <f t="shared" si="11"/>
        <v>3.0898567743431706</v>
      </c>
      <c r="M90" s="85">
        <f t="shared" si="11"/>
        <v>3.7010211082691136</v>
      </c>
      <c r="N90" s="85">
        <f t="shared" si="11"/>
        <v>3.3487701779432206</v>
      </c>
      <c r="O90" s="85">
        <f t="shared" si="11"/>
        <v>4.063463909883307</v>
      </c>
      <c r="P90" s="85">
        <f t="shared" si="11"/>
        <v>3.5343028334605742</v>
      </c>
      <c r="Q90" s="85">
        <f t="shared" si="11"/>
        <v>4.1919777569535004</v>
      </c>
      <c r="R90" s="85">
        <f t="shared" si="11"/>
        <v>3.6849999100126909</v>
      </c>
      <c r="S90" s="85">
        <f t="shared" si="11"/>
        <v>3.9813230631704997</v>
      </c>
      <c r="T90" s="85">
        <f t="shared" si="11"/>
        <v>4.3345334747292457</v>
      </c>
      <c r="U90" s="85">
        <f t="shared" si="11"/>
        <v>4.4801339265696063</v>
      </c>
      <c r="V90" s="85">
        <f t="shared" si="11"/>
        <v>3.9208516121570627</v>
      </c>
      <c r="W90" s="85">
        <f t="shared" si="11"/>
        <v>4.4983404347233069</v>
      </c>
      <c r="X90" s="85">
        <f t="shared" si="11"/>
        <v>4.3183080789621897</v>
      </c>
      <c r="Y90" s="85">
        <f t="shared" si="11"/>
        <v>4.6889515530304493</v>
      </c>
      <c r="Z90" s="85">
        <f t="shared" si="11"/>
        <v>4.092051848359624</v>
      </c>
      <c r="AC90" s="9"/>
    </row>
    <row r="91" spans="1:29" x14ac:dyDescent="0.2">
      <c r="AC91" s="6"/>
    </row>
    <row r="92" spans="1:29" x14ac:dyDescent="0.2">
      <c r="AC92" s="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D73E-3B10-4F62-86D7-9F958D9C9BB3}">
  <dimension ref="A1:J50"/>
  <sheetViews>
    <sheetView topLeftCell="A6" workbookViewId="0">
      <selection activeCell="D6" sqref="D6:D40"/>
    </sheetView>
  </sheetViews>
  <sheetFormatPr baseColWidth="10" defaultColWidth="8.83203125" defaultRowHeight="15" x14ac:dyDescent="0.2"/>
  <cols>
    <col min="1" max="1" width="12.5" customWidth="1"/>
    <col min="4" max="4" width="14.5" customWidth="1"/>
    <col min="5" max="5" width="11.5" customWidth="1"/>
  </cols>
  <sheetData>
    <row r="1" spans="1:6" ht="18" x14ac:dyDescent="0.2">
      <c r="A1" s="51" t="s">
        <v>35</v>
      </c>
    </row>
    <row r="3" spans="1:6" ht="16" x14ac:dyDescent="0.2">
      <c r="A3" s="18" t="s">
        <v>279</v>
      </c>
      <c r="D3" s="18"/>
      <c r="E3" s="18"/>
      <c r="F3" s="28"/>
    </row>
    <row r="4" spans="1:6" ht="16" x14ac:dyDescent="0.2">
      <c r="A4" s="18"/>
      <c r="D4" s="18"/>
      <c r="E4" s="18"/>
      <c r="F4" s="28"/>
    </row>
    <row r="5" spans="1:6" ht="16" x14ac:dyDescent="0.2">
      <c r="A5" s="28" t="s">
        <v>12</v>
      </c>
      <c r="B5" s="17" t="s">
        <v>10</v>
      </c>
      <c r="C5" s="17"/>
      <c r="D5" s="28" t="s">
        <v>12</v>
      </c>
      <c r="E5" s="17" t="s">
        <v>11</v>
      </c>
    </row>
    <row r="6" spans="1:6" x14ac:dyDescent="0.2">
      <c r="A6" s="7">
        <v>132150038</v>
      </c>
      <c r="B6" s="56">
        <v>77.333333333333329</v>
      </c>
      <c r="C6" s="8"/>
      <c r="D6" s="7" t="s">
        <v>25</v>
      </c>
      <c r="E6" s="56">
        <v>19.333333333333332</v>
      </c>
    </row>
    <row r="7" spans="1:6" x14ac:dyDescent="0.2">
      <c r="A7" s="7">
        <v>133130002</v>
      </c>
      <c r="B7" s="56">
        <v>60.666666666666664</v>
      </c>
      <c r="C7" s="8"/>
      <c r="D7" s="7">
        <v>132120002</v>
      </c>
      <c r="E7" s="56">
        <v>22.666666666666668</v>
      </c>
    </row>
    <row r="8" spans="1:6" x14ac:dyDescent="0.2">
      <c r="A8" s="7">
        <v>134010003</v>
      </c>
      <c r="B8" s="56">
        <v>51.333333333333336</v>
      </c>
      <c r="C8" s="8"/>
      <c r="D8" s="7">
        <v>132120018</v>
      </c>
      <c r="E8" s="56">
        <v>5.333333333333333</v>
      </c>
    </row>
    <row r="9" spans="1:6" x14ac:dyDescent="0.2">
      <c r="A9" s="7" t="s">
        <v>15</v>
      </c>
      <c r="B9" s="56">
        <v>34.666666666666664</v>
      </c>
      <c r="C9" s="8"/>
      <c r="D9" s="7">
        <v>133150054</v>
      </c>
      <c r="E9" s="56">
        <v>14.666666666666666</v>
      </c>
    </row>
    <row r="10" spans="1:6" x14ac:dyDescent="0.2">
      <c r="A10" s="7" t="s">
        <v>16</v>
      </c>
      <c r="B10" s="56">
        <v>34</v>
      </c>
      <c r="C10" s="8"/>
      <c r="D10" s="7">
        <v>133270004</v>
      </c>
      <c r="E10" s="56">
        <v>25.333333333333332</v>
      </c>
    </row>
    <row r="11" spans="1:6" x14ac:dyDescent="0.2">
      <c r="A11" s="7" t="s">
        <v>17</v>
      </c>
      <c r="B11" s="56">
        <v>61.333333333333336</v>
      </c>
      <c r="C11" s="8"/>
      <c r="D11" s="5">
        <v>146210041</v>
      </c>
      <c r="E11" s="56">
        <v>59.333333333333336</v>
      </c>
    </row>
    <row r="12" spans="1:6" x14ac:dyDescent="0.2">
      <c r="A12" s="7" t="s">
        <v>19</v>
      </c>
      <c r="B12" s="56">
        <v>51.333333333333336</v>
      </c>
      <c r="C12" s="8"/>
      <c r="D12" s="5">
        <v>146230003</v>
      </c>
      <c r="E12" s="56">
        <v>50.666666666666664</v>
      </c>
    </row>
    <row r="13" spans="1:6" x14ac:dyDescent="0.2">
      <c r="A13" s="7" t="s">
        <v>20</v>
      </c>
      <c r="B13" s="56">
        <v>66</v>
      </c>
      <c r="C13" s="8"/>
      <c r="D13" s="5">
        <v>146230024</v>
      </c>
      <c r="E13" s="56">
        <v>23.333333333333332</v>
      </c>
    </row>
    <row r="14" spans="1:6" x14ac:dyDescent="0.2">
      <c r="A14" s="7">
        <v>172230007</v>
      </c>
      <c r="B14" s="56">
        <v>67.333333333333329</v>
      </c>
      <c r="C14" s="8"/>
      <c r="D14" s="5">
        <v>146280003</v>
      </c>
      <c r="E14" s="56">
        <v>29.333333333333332</v>
      </c>
    </row>
    <row r="15" spans="1:6" x14ac:dyDescent="0.2">
      <c r="A15" s="7">
        <v>172240035</v>
      </c>
      <c r="B15" s="56">
        <v>65.333333333333329</v>
      </c>
      <c r="C15" s="8"/>
      <c r="D15" s="7" t="s">
        <v>26</v>
      </c>
      <c r="E15" s="56">
        <v>6.666666666666667</v>
      </c>
    </row>
    <row r="16" spans="1:6" x14ac:dyDescent="0.2">
      <c r="A16" s="7" t="s">
        <v>21</v>
      </c>
      <c r="B16" s="56">
        <v>43.333333333333336</v>
      </c>
      <c r="C16" s="8"/>
      <c r="D16" s="7" t="s">
        <v>27</v>
      </c>
      <c r="E16" s="56">
        <v>14</v>
      </c>
    </row>
    <row r="17" spans="1:5" x14ac:dyDescent="0.2">
      <c r="A17" s="7" t="s">
        <v>22</v>
      </c>
      <c r="B17" s="56">
        <v>54</v>
      </c>
      <c r="C17" s="8"/>
      <c r="D17" s="7" t="s">
        <v>28</v>
      </c>
      <c r="E17" s="56">
        <v>51.333333333333336</v>
      </c>
    </row>
    <row r="18" spans="1:5" x14ac:dyDescent="0.2">
      <c r="A18" s="7">
        <v>191290025</v>
      </c>
      <c r="B18" s="56">
        <v>57.333333333333336</v>
      </c>
      <c r="C18" s="8"/>
      <c r="D18" s="7">
        <v>171120006</v>
      </c>
      <c r="E18" s="56">
        <v>12.666666666666666</v>
      </c>
    </row>
    <row r="19" spans="1:5" x14ac:dyDescent="0.2">
      <c r="A19" s="7">
        <v>192250020</v>
      </c>
      <c r="B19" s="56">
        <v>28</v>
      </c>
      <c r="C19" s="8"/>
      <c r="D19" s="7" t="s">
        <v>29</v>
      </c>
      <c r="E19" s="56">
        <v>36.666666666666664</v>
      </c>
    </row>
    <row r="20" spans="1:5" x14ac:dyDescent="0.2">
      <c r="A20" s="7">
        <v>192250038</v>
      </c>
      <c r="B20" s="56">
        <v>66</v>
      </c>
      <c r="C20" s="8"/>
      <c r="D20" s="7" t="s">
        <v>30</v>
      </c>
      <c r="E20" s="56">
        <v>27.333333333333332</v>
      </c>
    </row>
    <row r="21" spans="1:5" x14ac:dyDescent="0.2">
      <c r="A21" s="7">
        <v>193020012</v>
      </c>
      <c r="B21" s="56">
        <v>66</v>
      </c>
      <c r="C21" s="8"/>
      <c r="D21" s="7" t="s">
        <v>31</v>
      </c>
      <c r="E21" s="56">
        <v>6</v>
      </c>
    </row>
    <row r="22" spans="1:5" x14ac:dyDescent="0.2">
      <c r="A22" s="7">
        <v>193020020</v>
      </c>
      <c r="B22" s="56">
        <v>40.666666666666664</v>
      </c>
      <c r="C22" s="8"/>
      <c r="D22" s="5">
        <v>191120017</v>
      </c>
      <c r="E22" s="56">
        <v>36.666666666666664</v>
      </c>
    </row>
    <row r="23" spans="1:5" x14ac:dyDescent="0.2">
      <c r="A23" s="7">
        <v>198130073</v>
      </c>
      <c r="B23" s="56">
        <v>54.666666666666664</v>
      </c>
      <c r="C23" s="8"/>
      <c r="D23" s="5">
        <v>192200044</v>
      </c>
      <c r="E23" s="56">
        <v>13.333333333333334</v>
      </c>
    </row>
    <row r="24" spans="1:5" x14ac:dyDescent="0.2">
      <c r="A24" s="7">
        <v>201160009</v>
      </c>
      <c r="B24" s="56">
        <v>50</v>
      </c>
      <c r="C24" s="8"/>
      <c r="D24" s="7">
        <v>193030013</v>
      </c>
      <c r="E24" s="56">
        <v>20.666666666666668</v>
      </c>
    </row>
    <row r="25" spans="1:5" x14ac:dyDescent="0.2">
      <c r="A25" s="7">
        <v>201160021</v>
      </c>
      <c r="B25" s="56">
        <v>58.666666666666664</v>
      </c>
      <c r="C25" s="8"/>
      <c r="D25" s="7">
        <v>198160034</v>
      </c>
      <c r="E25" s="56">
        <v>44</v>
      </c>
    </row>
    <row r="26" spans="1:5" x14ac:dyDescent="0.2">
      <c r="A26" s="7">
        <v>201160027</v>
      </c>
      <c r="B26" s="56">
        <v>33.333333333333336</v>
      </c>
      <c r="C26" s="8"/>
      <c r="D26" s="7" t="s">
        <v>32</v>
      </c>
      <c r="E26" s="56">
        <v>22</v>
      </c>
    </row>
    <row r="27" spans="1:5" x14ac:dyDescent="0.2">
      <c r="A27" s="7">
        <v>201160044</v>
      </c>
      <c r="B27" s="56">
        <v>50</v>
      </c>
      <c r="C27" s="8"/>
      <c r="D27" s="7">
        <v>201130004</v>
      </c>
      <c r="E27" s="56">
        <v>35.333333333333336</v>
      </c>
    </row>
    <row r="28" spans="1:5" x14ac:dyDescent="0.2">
      <c r="A28" s="7">
        <v>209230013</v>
      </c>
      <c r="B28" s="56">
        <v>53.333333333333336</v>
      </c>
      <c r="C28" s="8"/>
      <c r="D28" s="7">
        <v>201130031</v>
      </c>
      <c r="E28" s="56">
        <v>23.333333333333332</v>
      </c>
    </row>
    <row r="29" spans="1:5" x14ac:dyDescent="0.2">
      <c r="A29" s="7">
        <v>209230030</v>
      </c>
      <c r="B29" s="56">
        <v>56.666666666666664</v>
      </c>
      <c r="C29" s="8"/>
      <c r="D29" s="7">
        <v>201270007</v>
      </c>
      <c r="E29" s="56">
        <v>34.666666666666664</v>
      </c>
    </row>
    <row r="30" spans="1:5" x14ac:dyDescent="0.2">
      <c r="A30" s="7" t="s">
        <v>23</v>
      </c>
      <c r="B30" s="56">
        <v>86</v>
      </c>
      <c r="C30" s="8"/>
      <c r="D30" s="7">
        <v>201270034</v>
      </c>
      <c r="E30" s="56">
        <v>25.333333333333332</v>
      </c>
    </row>
    <row r="31" spans="1:5" x14ac:dyDescent="0.2">
      <c r="A31" s="7" t="s">
        <v>24</v>
      </c>
      <c r="B31" s="56">
        <v>47.333333333333336</v>
      </c>
      <c r="C31" s="8"/>
      <c r="D31" s="7">
        <v>209240024</v>
      </c>
      <c r="E31" s="56">
        <v>44.666666666666664</v>
      </c>
    </row>
    <row r="32" spans="1:5" x14ac:dyDescent="0.2">
      <c r="A32" s="7">
        <v>221060025</v>
      </c>
      <c r="B32" s="56">
        <v>75.333333333333329</v>
      </c>
      <c r="C32" s="8"/>
      <c r="D32" s="7">
        <v>217120034</v>
      </c>
      <c r="E32" s="56">
        <v>12.666666666666666</v>
      </c>
    </row>
    <row r="33" spans="1:10" x14ac:dyDescent="0.2">
      <c r="A33" s="7">
        <v>251270020</v>
      </c>
      <c r="B33" s="56">
        <v>42</v>
      </c>
      <c r="C33" s="8"/>
      <c r="D33" s="5" t="s">
        <v>33</v>
      </c>
      <c r="E33" s="56">
        <v>64</v>
      </c>
    </row>
    <row r="34" spans="1:10" x14ac:dyDescent="0.2">
      <c r="A34" s="7">
        <v>253200037</v>
      </c>
      <c r="B34" s="56">
        <v>50.666666666666664</v>
      </c>
      <c r="C34" s="8"/>
      <c r="D34" s="5" t="s">
        <v>34</v>
      </c>
      <c r="E34" s="56">
        <v>45.333333333333336</v>
      </c>
    </row>
    <row r="35" spans="1:10" x14ac:dyDescent="0.2">
      <c r="A35" s="7"/>
      <c r="B35" s="8"/>
      <c r="C35" s="8"/>
      <c r="D35" s="5" t="s">
        <v>163</v>
      </c>
      <c r="E35" s="56">
        <v>32.666666666666664</v>
      </c>
    </row>
    <row r="36" spans="1:10" x14ac:dyDescent="0.2">
      <c r="A36" s="7"/>
      <c r="B36" s="8"/>
      <c r="C36" s="8"/>
      <c r="D36" s="5">
        <v>251090017</v>
      </c>
      <c r="E36" s="56">
        <v>17.333333333333332</v>
      </c>
    </row>
    <row r="37" spans="1:10" x14ac:dyDescent="0.2">
      <c r="A37" s="7"/>
      <c r="B37" s="8"/>
      <c r="C37" s="8"/>
      <c r="D37" s="5">
        <v>251160011</v>
      </c>
      <c r="E37" s="56">
        <v>19.333333333333332</v>
      </c>
    </row>
    <row r="38" spans="1:10" x14ac:dyDescent="0.2">
      <c r="A38" s="7"/>
      <c r="B38" s="8"/>
      <c r="C38" s="8"/>
      <c r="D38" s="5">
        <v>251160026</v>
      </c>
      <c r="E38" s="56">
        <v>18.666666666666668</v>
      </c>
      <c r="I38" s="7"/>
    </row>
    <row r="39" spans="1:10" x14ac:dyDescent="0.2">
      <c r="A39" s="8"/>
      <c r="B39" s="8"/>
      <c r="C39" s="8"/>
      <c r="D39" s="5">
        <v>253190028</v>
      </c>
      <c r="E39" s="56">
        <v>4.666666666666667</v>
      </c>
      <c r="I39" s="7"/>
      <c r="J39" s="1"/>
    </row>
    <row r="40" spans="1:10" x14ac:dyDescent="0.2">
      <c r="A40" s="8"/>
      <c r="B40" s="8"/>
      <c r="C40" s="8"/>
      <c r="D40" s="5">
        <v>254020031</v>
      </c>
      <c r="E40" s="56">
        <v>23.333333333333332</v>
      </c>
      <c r="I40" s="7"/>
      <c r="J40" s="1"/>
    </row>
    <row r="41" spans="1:10" x14ac:dyDescent="0.2">
      <c r="A41" s="8"/>
      <c r="B41" s="8"/>
      <c r="C41" s="8"/>
      <c r="D41" s="5"/>
      <c r="E41" s="8"/>
      <c r="I41" s="7"/>
      <c r="J41" s="1"/>
    </row>
    <row r="42" spans="1:10" x14ac:dyDescent="0.2">
      <c r="A42" s="8"/>
      <c r="B42" s="8"/>
      <c r="C42" s="8"/>
      <c r="D42" s="8"/>
      <c r="E42" s="8"/>
      <c r="I42" s="7"/>
      <c r="J42" s="1"/>
    </row>
    <row r="43" spans="1:10" x14ac:dyDescent="0.2">
      <c r="A43" s="7" t="s">
        <v>0</v>
      </c>
      <c r="B43" s="74">
        <f>COUNT(B6:B42)</f>
        <v>29</v>
      </c>
      <c r="C43" s="8"/>
      <c r="D43" s="8"/>
      <c r="E43" s="74">
        <f>COUNT(E6:E42)</f>
        <v>35</v>
      </c>
    </row>
    <row r="44" spans="1:10" x14ac:dyDescent="0.2">
      <c r="A44" s="7" t="s">
        <v>1</v>
      </c>
      <c r="B44" s="74">
        <f>AVERAGE(B6:B42)</f>
        <v>54.574712643678154</v>
      </c>
      <c r="C44" s="8"/>
      <c r="D44" s="8"/>
      <c r="E44" s="74">
        <f>AVERAGE(E6:E42)</f>
        <v>26.933333333333337</v>
      </c>
    </row>
    <row r="45" spans="1:10" x14ac:dyDescent="0.2">
      <c r="A45" s="7" t="s">
        <v>2</v>
      </c>
      <c r="B45" s="74">
        <f>STDEV(B6:B42)</f>
        <v>13.765293529963836</v>
      </c>
      <c r="C45" s="8"/>
      <c r="D45" s="8"/>
      <c r="E45" s="74">
        <f>STDEV(E6:E42)</f>
        <v>15.347137860945791</v>
      </c>
    </row>
    <row r="46" spans="1:10" x14ac:dyDescent="0.2">
      <c r="A46" s="7" t="s">
        <v>3</v>
      </c>
      <c r="B46" s="74">
        <f t="shared" ref="B46" si="0">B45/SQRT(B43)</f>
        <v>2.5561508371530186</v>
      </c>
      <c r="C46" s="8"/>
      <c r="D46" s="8"/>
      <c r="E46" s="74">
        <f t="shared" ref="E46" si="1">E45/SQRT(E43)</f>
        <v>2.5941397722166881</v>
      </c>
    </row>
    <row r="47" spans="1:10" x14ac:dyDescent="0.2">
      <c r="A47" s="8"/>
      <c r="B47" s="7" t="s">
        <v>280</v>
      </c>
      <c r="C47" s="8"/>
      <c r="D47" s="8"/>
      <c r="E47" s="8" t="s">
        <v>266</v>
      </c>
    </row>
    <row r="48" spans="1:10" x14ac:dyDescent="0.2">
      <c r="A48" s="8"/>
      <c r="B48" s="8"/>
      <c r="C48" s="8"/>
      <c r="D48" s="8"/>
      <c r="E48" s="8"/>
    </row>
    <row r="49" spans="1:5" x14ac:dyDescent="0.2">
      <c r="A49" s="8"/>
      <c r="B49" s="8"/>
      <c r="C49" s="8"/>
      <c r="D49" s="8"/>
      <c r="E49" s="8"/>
    </row>
    <row r="50" spans="1:5" x14ac:dyDescent="0.2">
      <c r="A50" s="8"/>
      <c r="B50" s="8"/>
      <c r="C50" s="8"/>
      <c r="D50" s="8"/>
      <c r="E50" s="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983B-A375-4F22-9F59-AF08CF899709}">
  <dimension ref="A1:G65"/>
  <sheetViews>
    <sheetView workbookViewId="0">
      <selection activeCell="O36" sqref="O36"/>
    </sheetView>
  </sheetViews>
  <sheetFormatPr baseColWidth="10" defaultColWidth="8.83203125" defaultRowHeight="16" x14ac:dyDescent="0.2"/>
  <cols>
    <col min="1" max="1" width="10.6640625" style="18" customWidth="1"/>
    <col min="2" max="2" width="18.5" style="18" customWidth="1"/>
    <col min="3" max="3" width="16" style="18" customWidth="1"/>
    <col min="4" max="4" width="11.5" style="18" customWidth="1"/>
    <col min="5" max="5" width="26.6640625" style="18" customWidth="1"/>
  </cols>
  <sheetData>
    <row r="1" spans="1:7" x14ac:dyDescent="0.2">
      <c r="A1" s="18" t="s">
        <v>35</v>
      </c>
      <c r="C1" s="17"/>
    </row>
    <row r="2" spans="1:7" x14ac:dyDescent="0.2">
      <c r="C2" s="10"/>
    </row>
    <row r="3" spans="1:7" x14ac:dyDescent="0.2">
      <c r="C3" s="10"/>
    </row>
    <row r="4" spans="1:7" x14ac:dyDescent="0.2">
      <c r="C4" s="10"/>
    </row>
    <row r="5" spans="1:7" x14ac:dyDescent="0.2">
      <c r="B5" s="28" t="s">
        <v>10</v>
      </c>
      <c r="C5" s="10"/>
      <c r="E5" s="28" t="s">
        <v>167</v>
      </c>
    </row>
    <row r="6" spans="1:7" x14ac:dyDescent="0.2">
      <c r="A6" s="14" t="s">
        <v>281</v>
      </c>
      <c r="B6" s="14" t="s">
        <v>282</v>
      </c>
      <c r="C6" s="10"/>
      <c r="D6" s="14" t="s">
        <v>281</v>
      </c>
      <c r="E6" s="14" t="s">
        <v>282</v>
      </c>
      <c r="F6" s="21"/>
      <c r="G6" s="21"/>
    </row>
    <row r="7" spans="1:7" x14ac:dyDescent="0.2">
      <c r="A7" s="45" t="s">
        <v>137</v>
      </c>
      <c r="B7" s="29">
        <f>10000*1/94.15</f>
        <v>106.21348911311736</v>
      </c>
      <c r="C7" s="10"/>
      <c r="D7" s="45" t="s">
        <v>110</v>
      </c>
      <c r="E7" s="29">
        <f>10000*1/28.3</f>
        <v>353.35689045936397</v>
      </c>
      <c r="F7" s="21"/>
      <c r="G7" s="21"/>
    </row>
    <row r="8" spans="1:7" x14ac:dyDescent="0.2">
      <c r="A8" s="45" t="s">
        <v>88</v>
      </c>
      <c r="B8" s="29">
        <f>10000*1/75</f>
        <v>133.33333333333334</v>
      </c>
      <c r="C8" s="10"/>
      <c r="D8" s="45" t="s">
        <v>111</v>
      </c>
      <c r="E8" s="29">
        <f>10000*1/48.8</f>
        <v>204.91803278688525</v>
      </c>
      <c r="F8" s="21"/>
      <c r="G8" s="21"/>
    </row>
    <row r="9" spans="1:7" x14ac:dyDescent="0.2">
      <c r="A9" s="45" t="s">
        <v>89</v>
      </c>
      <c r="B9" s="29">
        <f>10000*1/78.6</f>
        <v>127.2264631043257</v>
      </c>
      <c r="C9" s="10"/>
      <c r="D9" s="45" t="s">
        <v>112</v>
      </c>
      <c r="E9" s="29">
        <f>10000*1/94.5</f>
        <v>105.82010582010582</v>
      </c>
      <c r="F9" s="21"/>
      <c r="G9" s="21"/>
    </row>
    <row r="10" spans="1:7" x14ac:dyDescent="0.2">
      <c r="A10" s="45" t="s">
        <v>91</v>
      </c>
      <c r="B10" s="29">
        <f>10000*1/53</f>
        <v>188.67924528301887</v>
      </c>
      <c r="C10" s="10"/>
      <c r="D10" s="45" t="s">
        <v>113</v>
      </c>
      <c r="E10" s="29">
        <f>10000*1/42.5</f>
        <v>235.29411764705881</v>
      </c>
      <c r="F10" s="21"/>
      <c r="G10" s="21"/>
    </row>
    <row r="11" spans="1:7" x14ac:dyDescent="0.2">
      <c r="A11" s="45" t="s">
        <v>169</v>
      </c>
      <c r="B11" s="29">
        <f>10000*1/84.8</f>
        <v>117.9245283018868</v>
      </c>
      <c r="C11" s="10"/>
      <c r="D11" s="45" t="s">
        <v>179</v>
      </c>
      <c r="E11" s="29">
        <f>10000*1/50.4</f>
        <v>198.4126984126984</v>
      </c>
      <c r="F11" s="21"/>
      <c r="G11" s="21"/>
    </row>
    <row r="12" spans="1:7" x14ac:dyDescent="0.2">
      <c r="A12" s="45" t="s">
        <v>138</v>
      </c>
      <c r="B12" s="29">
        <f>10000*1/69</f>
        <v>144.92753623188406</v>
      </c>
      <c r="C12" s="10"/>
      <c r="D12" s="45" t="s">
        <v>114</v>
      </c>
      <c r="E12" s="29">
        <f>10000*1/22</f>
        <v>454.54545454545456</v>
      </c>
      <c r="F12" s="21"/>
      <c r="G12" s="21"/>
    </row>
    <row r="13" spans="1:7" x14ac:dyDescent="0.2">
      <c r="A13" s="45" t="s">
        <v>139</v>
      </c>
      <c r="B13" s="29">
        <f>10000*1/91</f>
        <v>109.89010989010988</v>
      </c>
      <c r="C13" s="10"/>
      <c r="D13" s="45" t="s">
        <v>115</v>
      </c>
      <c r="E13" s="29">
        <f>10000*1/39.9</f>
        <v>250.62656641604011</v>
      </c>
      <c r="F13" s="21"/>
      <c r="G13" s="21"/>
    </row>
    <row r="14" spans="1:7" x14ac:dyDescent="0.2">
      <c r="A14" s="45" t="s">
        <v>140</v>
      </c>
      <c r="B14" s="29">
        <f>10000*1/73</f>
        <v>136.98630136986301</v>
      </c>
      <c r="C14" s="10"/>
      <c r="D14" s="45" t="s">
        <v>116</v>
      </c>
      <c r="E14" s="29">
        <f>10000*1/59</f>
        <v>169.4915254237288</v>
      </c>
      <c r="F14" s="21"/>
      <c r="G14" s="21"/>
    </row>
    <row r="15" spans="1:7" x14ac:dyDescent="0.2">
      <c r="A15" s="45" t="s">
        <v>141</v>
      </c>
      <c r="B15" s="29">
        <f>10000*1/52.5</f>
        <v>190.47619047619048</v>
      </c>
      <c r="C15" s="10"/>
      <c r="D15" s="45" t="s">
        <v>144</v>
      </c>
      <c r="E15" s="29">
        <f>10000*1/52</f>
        <v>192.30769230769232</v>
      </c>
      <c r="F15" s="21"/>
      <c r="G15" s="21"/>
    </row>
    <row r="16" spans="1:7" x14ac:dyDescent="0.2">
      <c r="A16" s="45" t="s">
        <v>142</v>
      </c>
      <c r="B16" s="29">
        <f>10000*1/57.8</f>
        <v>173.01038062283737</v>
      </c>
      <c r="C16" s="10"/>
      <c r="D16" s="45" t="s">
        <v>117</v>
      </c>
      <c r="E16" s="29">
        <f>10000*1/53.35</f>
        <v>187.44142455482663</v>
      </c>
      <c r="F16" s="21"/>
      <c r="G16" s="21"/>
    </row>
    <row r="17" spans="1:7" x14ac:dyDescent="0.2">
      <c r="A17" s="45" t="s">
        <v>90</v>
      </c>
      <c r="B17" s="29">
        <f>10000*1/73.8</f>
        <v>135.50135501355015</v>
      </c>
      <c r="C17" s="10"/>
      <c r="D17" s="45" t="s">
        <v>118</v>
      </c>
      <c r="E17" s="29">
        <f>10000*1/56.7</f>
        <v>176.3668430335097</v>
      </c>
      <c r="F17" s="21"/>
      <c r="G17" s="21"/>
    </row>
    <row r="18" spans="1:7" x14ac:dyDescent="0.2">
      <c r="A18" s="45" t="s">
        <v>96</v>
      </c>
      <c r="B18" s="29">
        <f>10000*1/79.25</f>
        <v>126.18296529968454</v>
      </c>
      <c r="C18" s="10"/>
      <c r="D18" s="45" t="s">
        <v>119</v>
      </c>
      <c r="E18" s="29">
        <f>10000*1/117.65</f>
        <v>84.997875053123664</v>
      </c>
      <c r="F18" s="21"/>
      <c r="G18" s="21"/>
    </row>
    <row r="19" spans="1:7" x14ac:dyDescent="0.2">
      <c r="A19" s="45" t="s">
        <v>143</v>
      </c>
      <c r="B19" s="29">
        <f>10000*1/71.1</f>
        <v>140.64697609001408</v>
      </c>
      <c r="C19" s="10"/>
      <c r="D19" s="45" t="s">
        <v>120</v>
      </c>
      <c r="E19" s="29">
        <f>10000*1/149</f>
        <v>67.114093959731548</v>
      </c>
      <c r="F19" s="21"/>
      <c r="G19" s="21"/>
    </row>
    <row r="20" spans="1:7" x14ac:dyDescent="0.2">
      <c r="A20" s="45" t="s">
        <v>93</v>
      </c>
      <c r="B20" s="29">
        <f>10000*1/59</f>
        <v>169.4915254237288</v>
      </c>
      <c r="C20" s="10"/>
      <c r="D20" s="45" t="s">
        <v>121</v>
      </c>
      <c r="E20" s="29">
        <f>10000*1/53.25</f>
        <v>187.79342723004694</v>
      </c>
      <c r="F20" s="21"/>
      <c r="G20" s="21"/>
    </row>
    <row r="21" spans="1:7" x14ac:dyDescent="0.2">
      <c r="A21" s="45" t="s">
        <v>92</v>
      </c>
      <c r="B21" s="29">
        <f>10000*1/77.7</f>
        <v>128.70012870012869</v>
      </c>
      <c r="C21" s="10"/>
      <c r="D21" s="45" t="s">
        <v>122</v>
      </c>
      <c r="E21" s="29"/>
      <c r="F21" s="21"/>
      <c r="G21" s="21"/>
    </row>
    <row r="22" spans="1:7" x14ac:dyDescent="0.2">
      <c r="A22" s="45" t="s">
        <v>145</v>
      </c>
      <c r="B22" s="29">
        <f>10000*1/72.5</f>
        <v>137.93103448275863</v>
      </c>
      <c r="C22" s="10"/>
      <c r="D22" s="45" t="s">
        <v>123</v>
      </c>
      <c r="E22" s="29">
        <f>10000*1/107.2</f>
        <v>93.28358208955224</v>
      </c>
      <c r="F22" s="21"/>
      <c r="G22" s="21"/>
    </row>
    <row r="23" spans="1:7" x14ac:dyDescent="0.2">
      <c r="A23" s="45" t="s">
        <v>146</v>
      </c>
      <c r="B23" s="29">
        <f>10000*1/60</f>
        <v>166.66666666666666</v>
      </c>
      <c r="C23" s="10"/>
      <c r="D23" s="45" t="s">
        <v>124</v>
      </c>
      <c r="E23" s="29">
        <f>10000*1/55.6</f>
        <v>179.85611510791367</v>
      </c>
      <c r="F23" s="21"/>
      <c r="G23" s="21"/>
    </row>
    <row r="24" spans="1:7" x14ac:dyDescent="0.2">
      <c r="A24" s="45" t="s">
        <v>97</v>
      </c>
      <c r="B24" s="29">
        <f>10000*1/90.2</f>
        <v>110.86474501108647</v>
      </c>
      <c r="C24" s="10"/>
      <c r="D24" s="45" t="s">
        <v>125</v>
      </c>
      <c r="E24" s="29">
        <f>10000*1/45.2</f>
        <v>221.23893805309734</v>
      </c>
      <c r="F24" s="21"/>
      <c r="G24" s="21"/>
    </row>
    <row r="25" spans="1:7" x14ac:dyDescent="0.2">
      <c r="A25" s="45" t="s">
        <v>147</v>
      </c>
      <c r="B25" s="29">
        <f>10000*1/61.2</f>
        <v>163.3986928104575</v>
      </c>
      <c r="C25" s="10"/>
      <c r="D25" s="45" t="s">
        <v>126</v>
      </c>
      <c r="E25" s="29">
        <f>10000*1/55</f>
        <v>181.81818181818181</v>
      </c>
      <c r="F25" s="21"/>
      <c r="G25" s="21"/>
    </row>
    <row r="26" spans="1:7" x14ac:dyDescent="0.2">
      <c r="A26" s="45" t="s">
        <v>148</v>
      </c>
      <c r="B26" s="29">
        <f>10000*1/42.7</f>
        <v>234.19203747072598</v>
      </c>
      <c r="C26" s="10"/>
      <c r="D26" s="45" t="s">
        <v>127</v>
      </c>
      <c r="E26" s="29">
        <f>10000*1/54</f>
        <v>185.18518518518519</v>
      </c>
      <c r="F26" s="21"/>
      <c r="G26" s="21"/>
    </row>
    <row r="27" spans="1:7" x14ac:dyDescent="0.2">
      <c r="A27" s="45" t="s">
        <v>149</v>
      </c>
      <c r="B27" s="29">
        <f>10000*1/77.6</f>
        <v>128.86597938144331</v>
      </c>
      <c r="C27" s="10"/>
      <c r="D27" s="45" t="s">
        <v>128</v>
      </c>
      <c r="E27" s="29">
        <f>10000*1/44</f>
        <v>227.27272727272728</v>
      </c>
      <c r="F27" s="21"/>
      <c r="G27" s="21"/>
    </row>
    <row r="28" spans="1:7" x14ac:dyDescent="0.2">
      <c r="A28" s="45" t="s">
        <v>98</v>
      </c>
      <c r="B28" s="29">
        <f>10000*1/85</f>
        <v>117.64705882352941</v>
      </c>
      <c r="C28" s="10"/>
      <c r="D28" s="45" t="s">
        <v>129</v>
      </c>
      <c r="E28" s="29">
        <f>10000*1/47.15</f>
        <v>212.08907741251326</v>
      </c>
      <c r="F28" s="21"/>
      <c r="G28" s="21"/>
    </row>
    <row r="29" spans="1:7" x14ac:dyDescent="0.2">
      <c r="A29" s="45" t="s">
        <v>150</v>
      </c>
      <c r="B29" s="29">
        <f>10000*1/76.4</f>
        <v>130.89005235602093</v>
      </c>
      <c r="C29" s="10"/>
      <c r="D29" s="45" t="s">
        <v>101</v>
      </c>
      <c r="E29" s="29">
        <f>10000*1/77.5</f>
        <v>129.03225806451613</v>
      </c>
      <c r="F29" s="21"/>
      <c r="G29" s="21"/>
    </row>
    <row r="30" spans="1:7" x14ac:dyDescent="0.2">
      <c r="A30" s="45" t="s">
        <v>99</v>
      </c>
      <c r="B30" s="29">
        <f>10000*1/56.45</f>
        <v>177.14791851195747</v>
      </c>
      <c r="C30" s="10"/>
      <c r="D30" s="45" t="s">
        <v>130</v>
      </c>
      <c r="E30" s="29">
        <f>10000*1/69</f>
        <v>144.92753623188406</v>
      </c>
      <c r="F30" s="21"/>
      <c r="G30" s="21"/>
    </row>
    <row r="31" spans="1:7" x14ac:dyDescent="0.2">
      <c r="A31" s="45" t="s">
        <v>100</v>
      </c>
      <c r="B31" s="29">
        <f>10000*1/55.3</f>
        <v>180.83182640144668</v>
      </c>
      <c r="C31" s="10"/>
      <c r="D31" s="45" t="s">
        <v>131</v>
      </c>
      <c r="E31" s="29">
        <f>10000*1/73.5</f>
        <v>136.05442176870747</v>
      </c>
      <c r="F31" s="21"/>
      <c r="G31" s="21"/>
    </row>
    <row r="32" spans="1:7" x14ac:dyDescent="0.2">
      <c r="A32" s="45" t="s">
        <v>151</v>
      </c>
      <c r="B32" s="29">
        <f>10000*1/106.2</f>
        <v>94.161958568738228</v>
      </c>
      <c r="C32" s="10"/>
      <c r="D32" s="45" t="s">
        <v>132</v>
      </c>
      <c r="E32" s="29">
        <f>10000*1/92.5</f>
        <v>108.10810810810811</v>
      </c>
      <c r="F32" s="21"/>
      <c r="G32" s="21"/>
    </row>
    <row r="33" spans="1:7" x14ac:dyDescent="0.2">
      <c r="A33" s="45" t="s">
        <v>152</v>
      </c>
      <c r="B33" s="29">
        <f>10000*1/76</f>
        <v>131.57894736842104</v>
      </c>
      <c r="D33" s="45" t="s">
        <v>133</v>
      </c>
      <c r="E33" s="29">
        <f>10000*1/77.15</f>
        <v>129.61762799740762</v>
      </c>
      <c r="F33" s="21"/>
      <c r="G33" s="21"/>
    </row>
    <row r="34" spans="1:7" x14ac:dyDescent="0.2">
      <c r="A34" s="45" t="s">
        <v>153</v>
      </c>
      <c r="B34" s="29">
        <f>10000*1/79.5</f>
        <v>125.78616352201257</v>
      </c>
      <c r="D34" s="45" t="s">
        <v>134</v>
      </c>
      <c r="E34" s="29">
        <f>10000*1/79.8</f>
        <v>125.31328320802005</v>
      </c>
      <c r="F34" s="21"/>
      <c r="G34" s="21"/>
    </row>
    <row r="35" spans="1:7" x14ac:dyDescent="0.2">
      <c r="A35" s="45" t="s">
        <v>102</v>
      </c>
      <c r="B35" s="29">
        <f>10000*1/83.15</f>
        <v>120.26458208057726</v>
      </c>
      <c r="D35" s="45" t="s">
        <v>135</v>
      </c>
      <c r="E35" s="29">
        <f>10000*1/44.4</f>
        <v>225.22522522522524</v>
      </c>
      <c r="F35" s="21"/>
      <c r="G35" s="21"/>
    </row>
    <row r="36" spans="1:7" x14ac:dyDescent="0.2">
      <c r="A36" s="45" t="s">
        <v>154</v>
      </c>
      <c r="B36" s="29">
        <f>10000*1/94.5</f>
        <v>105.82010582010582</v>
      </c>
      <c r="D36" s="45" t="s">
        <v>136</v>
      </c>
      <c r="E36" s="29">
        <f>10000*1/76.7</f>
        <v>130.3780964797914</v>
      </c>
      <c r="F36" s="21"/>
      <c r="G36" s="21"/>
    </row>
    <row r="37" spans="1:7" x14ac:dyDescent="0.2">
      <c r="A37" s="45" t="s">
        <v>155</v>
      </c>
      <c r="B37" s="29">
        <f>10000*1/73.75</f>
        <v>135.59322033898306</v>
      </c>
      <c r="D37" s="14" t="s">
        <v>159</v>
      </c>
      <c r="E37" s="29">
        <f>10000*1/56.3</f>
        <v>177.61989342806396</v>
      </c>
      <c r="F37" s="21"/>
      <c r="G37" s="21"/>
    </row>
    <row r="38" spans="1:7" x14ac:dyDescent="0.2">
      <c r="A38" s="45" t="s">
        <v>103</v>
      </c>
      <c r="B38" s="29">
        <f>10000*1/79.1</f>
        <v>126.42225031605564</v>
      </c>
      <c r="D38" s="14" t="s">
        <v>160</v>
      </c>
      <c r="E38" s="29">
        <f>10000*1/43.65</f>
        <v>229.09507445589921</v>
      </c>
      <c r="F38" s="21"/>
      <c r="G38" s="21"/>
    </row>
    <row r="39" spans="1:7" x14ac:dyDescent="0.2">
      <c r="A39" s="45" t="s">
        <v>105</v>
      </c>
      <c r="B39" s="29">
        <f>10000*1/99</f>
        <v>101.01010101010101</v>
      </c>
      <c r="D39" s="13" t="s">
        <v>161</v>
      </c>
      <c r="E39" s="29">
        <f>10000*1/67</f>
        <v>149.25373134328359</v>
      </c>
      <c r="F39" s="21"/>
      <c r="G39" s="21"/>
    </row>
    <row r="40" spans="1:7" x14ac:dyDescent="0.2">
      <c r="A40" s="45" t="s">
        <v>104</v>
      </c>
      <c r="B40" s="29">
        <f>10000*1/56.15</f>
        <v>178.09439002671417</v>
      </c>
      <c r="D40" s="13" t="s">
        <v>162</v>
      </c>
      <c r="E40" s="29">
        <f>10000*1/66.8</f>
        <v>149.70059880239521</v>
      </c>
      <c r="F40" s="21"/>
      <c r="G40" s="21"/>
    </row>
    <row r="41" spans="1:7" x14ac:dyDescent="0.2">
      <c r="A41" s="45" t="s">
        <v>156</v>
      </c>
      <c r="B41" s="29">
        <f>10000*1/69</f>
        <v>144.92753623188406</v>
      </c>
      <c r="D41" s="13" t="s">
        <v>180</v>
      </c>
      <c r="E41" s="29">
        <f>10000*1/67</f>
        <v>149.25373134328359</v>
      </c>
      <c r="F41" s="21"/>
      <c r="G41" s="21"/>
    </row>
    <row r="42" spans="1:7" x14ac:dyDescent="0.2">
      <c r="A42" s="45" t="s">
        <v>157</v>
      </c>
      <c r="B42" s="29">
        <f>10000*1/70</f>
        <v>142.85714285714286</v>
      </c>
      <c r="D42" s="13" t="s">
        <v>181</v>
      </c>
      <c r="E42" s="29">
        <f>10000*1/80</f>
        <v>125</v>
      </c>
      <c r="F42" s="21"/>
      <c r="G42" s="21"/>
    </row>
    <row r="43" spans="1:7" x14ac:dyDescent="0.2">
      <c r="A43" s="45" t="s">
        <v>106</v>
      </c>
      <c r="B43" s="29">
        <f>10000*1/32.8</f>
        <v>304.87804878048786</v>
      </c>
      <c r="D43" s="13" t="s">
        <v>182</v>
      </c>
      <c r="E43" s="29">
        <f>10000*1/54.35</f>
        <v>183.99264029438822</v>
      </c>
      <c r="F43" s="21"/>
      <c r="G43" s="21"/>
    </row>
    <row r="44" spans="1:7" x14ac:dyDescent="0.2">
      <c r="A44" s="14" t="s">
        <v>107</v>
      </c>
      <c r="B44" s="29">
        <f>10000*1/40</f>
        <v>250</v>
      </c>
      <c r="D44" s="13" t="s">
        <v>183</v>
      </c>
      <c r="E44" s="29">
        <f>10000*1/72.85</f>
        <v>137.26835964310229</v>
      </c>
      <c r="F44" s="21"/>
      <c r="G44" s="21"/>
    </row>
    <row r="45" spans="1:7" x14ac:dyDescent="0.2">
      <c r="A45" s="14" t="s">
        <v>108</v>
      </c>
      <c r="B45" s="29">
        <f>10000*1/85</f>
        <v>117.64705882352941</v>
      </c>
      <c r="D45" s="13" t="s">
        <v>184</v>
      </c>
      <c r="E45" s="29">
        <f>10000*1/40.2</f>
        <v>248.75621890547262</v>
      </c>
      <c r="F45" s="21"/>
      <c r="G45" s="21"/>
    </row>
    <row r="46" spans="1:7" x14ac:dyDescent="0.2">
      <c r="A46" s="14" t="s">
        <v>95</v>
      </c>
      <c r="B46" s="29">
        <f>10000*1/65.3</f>
        <v>153.13935681470139</v>
      </c>
      <c r="D46" s="13" t="s">
        <v>185</v>
      </c>
      <c r="E46" s="29">
        <f>10000*1/48.25</f>
        <v>207.25388601036269</v>
      </c>
      <c r="F46" s="21"/>
      <c r="G46" s="21"/>
    </row>
    <row r="47" spans="1:7" x14ac:dyDescent="0.2">
      <c r="A47" s="14" t="s">
        <v>94</v>
      </c>
      <c r="B47" s="29">
        <f>10000*1/72.8</f>
        <v>137.36263736263737</v>
      </c>
      <c r="D47" s="13" t="s">
        <v>186</v>
      </c>
      <c r="E47" s="29">
        <f>10000*1/53.1</f>
        <v>188.32391713747646</v>
      </c>
      <c r="F47" s="21"/>
      <c r="G47" s="21"/>
    </row>
    <row r="48" spans="1:7" x14ac:dyDescent="0.2">
      <c r="A48" s="14" t="s">
        <v>109</v>
      </c>
      <c r="B48" s="29">
        <f>10000*1/94.5</f>
        <v>105.82010582010582</v>
      </c>
      <c r="D48" s="13" t="s">
        <v>187</v>
      </c>
      <c r="E48" s="29">
        <f>10000*1/38.15</f>
        <v>262.12319790301444</v>
      </c>
      <c r="F48" s="21"/>
      <c r="G48" s="21"/>
    </row>
    <row r="49" spans="1:7" x14ac:dyDescent="0.2">
      <c r="A49" s="14" t="s">
        <v>170</v>
      </c>
      <c r="B49" s="29">
        <f>10000*1/31.7</f>
        <v>315.45741324921136</v>
      </c>
      <c r="D49" s="13" t="s">
        <v>188</v>
      </c>
      <c r="E49" s="29">
        <f>10000*1/20.15</f>
        <v>496.2779156327544</v>
      </c>
      <c r="F49" s="21"/>
      <c r="G49" s="21"/>
    </row>
    <row r="50" spans="1:7" x14ac:dyDescent="0.2">
      <c r="A50" s="14" t="s">
        <v>171</v>
      </c>
      <c r="B50" s="29">
        <f>10000*1/61.9</f>
        <v>161.55088852988692</v>
      </c>
      <c r="D50" s="13" t="s">
        <v>189</v>
      </c>
      <c r="E50" s="29">
        <f>10000*1/55.45</f>
        <v>180.34265103697024</v>
      </c>
      <c r="F50" s="21"/>
      <c r="G50" s="21"/>
    </row>
    <row r="51" spans="1:7" x14ac:dyDescent="0.2">
      <c r="A51" s="14" t="s">
        <v>172</v>
      </c>
      <c r="B51" s="29">
        <f>10000*1/60.45</f>
        <v>165.42597187758477</v>
      </c>
      <c r="D51" s="13" t="s">
        <v>190</v>
      </c>
      <c r="E51" s="29">
        <f>10000*1/52.85</f>
        <v>189.21475875118259</v>
      </c>
      <c r="F51" s="21"/>
      <c r="G51" s="21"/>
    </row>
    <row r="52" spans="1:7" x14ac:dyDescent="0.2">
      <c r="A52" s="14" t="s">
        <v>173</v>
      </c>
      <c r="B52" s="29">
        <f>10000*1/50</f>
        <v>200</v>
      </c>
      <c r="D52" s="13" t="s">
        <v>191</v>
      </c>
      <c r="E52" s="29">
        <f>10000*1/84</f>
        <v>119.04761904761905</v>
      </c>
      <c r="F52" s="21"/>
      <c r="G52" s="21"/>
    </row>
    <row r="53" spans="1:7" x14ac:dyDescent="0.2">
      <c r="A53" s="14" t="s">
        <v>174</v>
      </c>
      <c r="B53" s="29">
        <f>10000*1/76.65</f>
        <v>130.4631441617743</v>
      </c>
      <c r="D53" s="13" t="s">
        <v>192</v>
      </c>
      <c r="E53" s="29">
        <f>10000*1/97.6</f>
        <v>102.45901639344262</v>
      </c>
      <c r="F53" s="21"/>
      <c r="G53" s="21"/>
    </row>
    <row r="54" spans="1:7" x14ac:dyDescent="0.2">
      <c r="A54" s="13" t="s">
        <v>175</v>
      </c>
      <c r="B54" s="29">
        <f>10000*1/47.35</f>
        <v>211.19324181626186</v>
      </c>
      <c r="D54" s="13" t="s">
        <v>193</v>
      </c>
      <c r="E54" s="29">
        <f>10000*1/60</f>
        <v>166.66666666666666</v>
      </c>
      <c r="F54" s="21"/>
      <c r="G54" s="21"/>
    </row>
    <row r="55" spans="1:7" x14ac:dyDescent="0.2">
      <c r="A55" s="14" t="s">
        <v>176</v>
      </c>
      <c r="B55" s="29">
        <f>10000*1/55</f>
        <v>181.81818181818181</v>
      </c>
      <c r="D55" s="13"/>
      <c r="E55" s="29"/>
      <c r="F55" s="21"/>
      <c r="G55" s="21"/>
    </row>
    <row r="56" spans="1:7" x14ac:dyDescent="0.2">
      <c r="A56" s="14" t="s">
        <v>177</v>
      </c>
      <c r="B56" s="29">
        <f>10000*1/63.25</f>
        <v>158.10276679841897</v>
      </c>
      <c r="D56" s="13"/>
      <c r="E56" s="29"/>
      <c r="F56" s="21"/>
      <c r="G56" s="21"/>
    </row>
    <row r="57" spans="1:7" x14ac:dyDescent="0.2">
      <c r="A57" s="14" t="s">
        <v>178</v>
      </c>
      <c r="B57" s="29">
        <f>10000*1/76.35</f>
        <v>130.97576948264572</v>
      </c>
      <c r="D57" s="13"/>
      <c r="E57" s="29"/>
    </row>
    <row r="58" spans="1:7" x14ac:dyDescent="0.2">
      <c r="A58" s="45"/>
      <c r="B58" s="29"/>
      <c r="D58" s="13"/>
      <c r="E58" s="29"/>
    </row>
    <row r="59" spans="1:7" x14ac:dyDescent="0.2">
      <c r="A59" s="45"/>
      <c r="B59" s="29"/>
    </row>
    <row r="60" spans="1:7" x14ac:dyDescent="0.2">
      <c r="A60" s="18" t="s">
        <v>0</v>
      </c>
      <c r="B60" s="18">
        <f>COUNT(B7:B59)</f>
        <v>51</v>
      </c>
      <c r="D60" s="18" t="s">
        <v>0</v>
      </c>
      <c r="E60" s="18">
        <f>COUNT(E7:E59)</f>
        <v>47</v>
      </c>
    </row>
    <row r="61" spans="1:7" x14ac:dyDescent="0.2">
      <c r="A61" s="65" t="s">
        <v>1</v>
      </c>
      <c r="B61" s="65">
        <f>AVERAGE(B7:B59)</f>
        <v>153.09759850286133</v>
      </c>
      <c r="D61" s="65" t="s">
        <v>1</v>
      </c>
      <c r="E61" s="65">
        <f>AVERAGE(E7:E59)</f>
        <v>186.37312741422284</v>
      </c>
    </row>
    <row r="62" spans="1:7" x14ac:dyDescent="0.2">
      <c r="A62" s="65" t="s">
        <v>2</v>
      </c>
      <c r="B62" s="65">
        <f>STDEV(B7:B59)</f>
        <v>46.27455738359253</v>
      </c>
      <c r="D62" s="65" t="s">
        <v>2</v>
      </c>
      <c r="E62" s="65">
        <f>STDEV(E7:E59)</f>
        <v>81.569340238734668</v>
      </c>
    </row>
    <row r="63" spans="1:7" x14ac:dyDescent="0.2">
      <c r="A63" s="65" t="s">
        <v>3</v>
      </c>
      <c r="B63" s="65">
        <f>B62/SQRT(B60)</f>
        <v>6.479734110145591</v>
      </c>
      <c r="D63" s="65" t="s">
        <v>3</v>
      </c>
      <c r="E63" s="65">
        <f>E62/SQRT(E60)</f>
        <v>11.898111120411901</v>
      </c>
    </row>
    <row r="65" spans="2:2" x14ac:dyDescent="0.2">
      <c r="B65" s="18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4B4B-B424-4BC4-A297-CBA3B0B4DEE8}">
  <dimension ref="A1:AV99"/>
  <sheetViews>
    <sheetView workbookViewId="0">
      <selection sqref="A1:AC1048576"/>
    </sheetView>
  </sheetViews>
  <sheetFormatPr baseColWidth="10" defaultColWidth="8.83203125" defaultRowHeight="16" x14ac:dyDescent="0.2"/>
  <cols>
    <col min="1" max="1" width="34.1640625" style="10" customWidth="1"/>
    <col min="2" max="26" width="6.5" style="64" customWidth="1"/>
    <col min="27" max="48" width="6.5" style="4" customWidth="1"/>
  </cols>
  <sheetData>
    <row r="1" spans="1:48" x14ac:dyDescent="0.2">
      <c r="A1" s="16" t="s">
        <v>35</v>
      </c>
    </row>
    <row r="2" spans="1:48" x14ac:dyDescent="0.2">
      <c r="A2" s="10" t="s">
        <v>14</v>
      </c>
    </row>
    <row r="4" spans="1:48" x14ac:dyDescent="0.2">
      <c r="L4" s="12" t="s">
        <v>5</v>
      </c>
    </row>
    <row r="5" spans="1:48" s="8" customFormat="1" x14ac:dyDescent="0.2">
      <c r="A5" s="11" t="s">
        <v>4</v>
      </c>
      <c r="B5" s="1">
        <v>1</v>
      </c>
      <c r="C5" s="1">
        <f t="shared" ref="C5:Z5" si="0">B5+1</f>
        <v>2</v>
      </c>
      <c r="D5" s="1">
        <f t="shared" si="0"/>
        <v>3</v>
      </c>
      <c r="E5" s="1">
        <f t="shared" si="0"/>
        <v>4</v>
      </c>
      <c r="F5" s="1">
        <f t="shared" si="0"/>
        <v>5</v>
      </c>
      <c r="G5" s="1">
        <f t="shared" si="0"/>
        <v>6</v>
      </c>
      <c r="H5" s="1">
        <f t="shared" si="0"/>
        <v>7</v>
      </c>
      <c r="I5" s="1">
        <f t="shared" si="0"/>
        <v>8</v>
      </c>
      <c r="J5" s="1">
        <f t="shared" si="0"/>
        <v>9</v>
      </c>
      <c r="K5" s="1">
        <f t="shared" si="0"/>
        <v>10</v>
      </c>
      <c r="L5" s="1">
        <f t="shared" si="0"/>
        <v>11</v>
      </c>
      <c r="M5" s="1">
        <f t="shared" si="0"/>
        <v>12</v>
      </c>
      <c r="N5" s="1">
        <f t="shared" si="0"/>
        <v>13</v>
      </c>
      <c r="O5" s="1">
        <f t="shared" si="0"/>
        <v>14</v>
      </c>
      <c r="P5" s="1">
        <f t="shared" si="0"/>
        <v>15</v>
      </c>
      <c r="Q5" s="1">
        <f t="shared" si="0"/>
        <v>16</v>
      </c>
      <c r="R5" s="1">
        <f t="shared" si="0"/>
        <v>17</v>
      </c>
      <c r="S5" s="1">
        <f t="shared" si="0"/>
        <v>18</v>
      </c>
      <c r="T5" s="1">
        <f t="shared" si="0"/>
        <v>19</v>
      </c>
      <c r="U5" s="1">
        <f t="shared" si="0"/>
        <v>20</v>
      </c>
      <c r="V5" s="1">
        <f t="shared" si="0"/>
        <v>21</v>
      </c>
      <c r="W5" s="1">
        <f t="shared" si="0"/>
        <v>22</v>
      </c>
      <c r="X5" s="1">
        <f t="shared" si="0"/>
        <v>23</v>
      </c>
      <c r="Y5" s="1">
        <f t="shared" si="0"/>
        <v>24</v>
      </c>
      <c r="Z5" s="1">
        <f t="shared" si="0"/>
        <v>25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8" x14ac:dyDescent="0.2">
      <c r="A6" s="12" t="s">
        <v>9</v>
      </c>
      <c r="B6" s="2">
        <v>-60</v>
      </c>
      <c r="C6" s="2">
        <f t="shared" ref="C6:Z6" si="1">B6+10</f>
        <v>-50</v>
      </c>
      <c r="D6" s="2">
        <f t="shared" si="1"/>
        <v>-40</v>
      </c>
      <c r="E6" s="2">
        <f t="shared" si="1"/>
        <v>-30</v>
      </c>
      <c r="F6" s="2">
        <f t="shared" si="1"/>
        <v>-20</v>
      </c>
      <c r="G6" s="2">
        <f t="shared" si="1"/>
        <v>-10</v>
      </c>
      <c r="H6" s="2">
        <f t="shared" si="1"/>
        <v>0</v>
      </c>
      <c r="I6" s="2">
        <f t="shared" si="1"/>
        <v>10</v>
      </c>
      <c r="J6" s="2">
        <f t="shared" si="1"/>
        <v>20</v>
      </c>
      <c r="K6" s="2">
        <f t="shared" si="1"/>
        <v>30</v>
      </c>
      <c r="L6" s="2">
        <f t="shared" si="1"/>
        <v>40</v>
      </c>
      <c r="M6" s="2">
        <f t="shared" si="1"/>
        <v>50</v>
      </c>
      <c r="N6" s="2">
        <f t="shared" si="1"/>
        <v>60</v>
      </c>
      <c r="O6" s="2">
        <f t="shared" si="1"/>
        <v>70</v>
      </c>
      <c r="P6" s="2">
        <f t="shared" si="1"/>
        <v>80</v>
      </c>
      <c r="Q6" s="2">
        <f t="shared" si="1"/>
        <v>90</v>
      </c>
      <c r="R6" s="2">
        <f t="shared" si="1"/>
        <v>100</v>
      </c>
      <c r="S6" s="2">
        <f t="shared" si="1"/>
        <v>110</v>
      </c>
      <c r="T6" s="2">
        <f t="shared" si="1"/>
        <v>120</v>
      </c>
      <c r="U6" s="2">
        <f t="shared" si="1"/>
        <v>130</v>
      </c>
      <c r="V6" s="2">
        <f t="shared" si="1"/>
        <v>140</v>
      </c>
      <c r="W6" s="2">
        <f t="shared" si="1"/>
        <v>150</v>
      </c>
      <c r="X6" s="2">
        <f t="shared" si="1"/>
        <v>160</v>
      </c>
      <c r="Y6" s="2">
        <f t="shared" si="1"/>
        <v>170</v>
      </c>
      <c r="Z6" s="2">
        <f t="shared" si="1"/>
        <v>180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15" x14ac:dyDescent="0.2">
      <c r="A7" s="7">
        <v>132150038</v>
      </c>
      <c r="B7" s="1">
        <v>85</v>
      </c>
      <c r="C7" s="1"/>
      <c r="D7" s="1">
        <v>86</v>
      </c>
      <c r="E7" s="1"/>
      <c r="F7" s="1">
        <v>84</v>
      </c>
      <c r="G7" s="1"/>
      <c r="H7" s="1">
        <v>90</v>
      </c>
      <c r="I7" s="1"/>
      <c r="J7" s="1">
        <v>87</v>
      </c>
      <c r="K7" s="1"/>
      <c r="L7" s="1">
        <v>89</v>
      </c>
      <c r="M7" s="1"/>
      <c r="N7" s="1">
        <v>93</v>
      </c>
      <c r="O7" s="1"/>
      <c r="P7" s="1">
        <v>96</v>
      </c>
      <c r="Q7" s="1"/>
      <c r="R7" s="1">
        <v>102</v>
      </c>
      <c r="S7" s="1"/>
      <c r="T7" s="1">
        <v>104</v>
      </c>
      <c r="U7" s="1"/>
      <c r="V7" s="1">
        <v>105</v>
      </c>
      <c r="W7" s="1"/>
      <c r="X7" s="1">
        <v>106</v>
      </c>
      <c r="Y7" s="1"/>
      <c r="Z7" s="1">
        <v>116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/>
      <c r="AO7"/>
      <c r="AP7"/>
      <c r="AQ7"/>
      <c r="AR7"/>
      <c r="AS7"/>
      <c r="AT7"/>
      <c r="AU7"/>
      <c r="AV7"/>
    </row>
    <row r="8" spans="1:48" ht="15" x14ac:dyDescent="0.2">
      <c r="A8" s="7">
        <v>133130002</v>
      </c>
      <c r="B8" s="1">
        <v>0</v>
      </c>
      <c r="C8" s="1"/>
      <c r="D8" s="1">
        <v>0</v>
      </c>
      <c r="E8" s="1"/>
      <c r="F8" s="1">
        <v>0</v>
      </c>
      <c r="G8" s="1"/>
      <c r="H8" s="1">
        <v>0</v>
      </c>
      <c r="I8" s="1"/>
      <c r="J8" s="1">
        <v>0</v>
      </c>
      <c r="K8" s="1"/>
      <c r="L8" s="1">
        <v>1</v>
      </c>
      <c r="M8" s="1"/>
      <c r="N8" s="1">
        <v>4</v>
      </c>
      <c r="O8" s="1"/>
      <c r="P8" s="1">
        <v>9</v>
      </c>
      <c r="Q8" s="1"/>
      <c r="R8" s="1">
        <v>12</v>
      </c>
      <c r="S8" s="43"/>
      <c r="T8" s="1">
        <v>65</v>
      </c>
      <c r="U8" s="43"/>
      <c r="V8" s="1">
        <v>85</v>
      </c>
      <c r="W8" s="1"/>
      <c r="X8" s="1">
        <v>91</v>
      </c>
      <c r="Y8" s="1"/>
      <c r="Z8" s="1">
        <v>59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/>
      <c r="AO8"/>
      <c r="AP8"/>
      <c r="AQ8"/>
      <c r="AR8"/>
      <c r="AS8"/>
      <c r="AT8"/>
      <c r="AU8"/>
      <c r="AV8"/>
    </row>
    <row r="9" spans="1:48" ht="15" x14ac:dyDescent="0.2">
      <c r="A9" s="7">
        <v>134010003</v>
      </c>
      <c r="B9" s="1">
        <v>37</v>
      </c>
      <c r="C9" s="1"/>
      <c r="D9" s="1">
        <v>43</v>
      </c>
      <c r="E9" s="1"/>
      <c r="F9" s="1">
        <v>49</v>
      </c>
      <c r="G9" s="1"/>
      <c r="H9" s="1">
        <v>55</v>
      </c>
      <c r="I9" s="1"/>
      <c r="J9" s="1">
        <v>62</v>
      </c>
      <c r="K9" s="1"/>
      <c r="L9" s="1">
        <v>68</v>
      </c>
      <c r="M9" s="1"/>
      <c r="N9" s="1">
        <v>73</v>
      </c>
      <c r="O9" s="1"/>
      <c r="P9" s="1">
        <v>78</v>
      </c>
      <c r="Q9" s="1"/>
      <c r="R9" s="1">
        <v>65</v>
      </c>
      <c r="S9" s="1"/>
      <c r="T9" s="1">
        <v>75</v>
      </c>
      <c r="U9" s="1"/>
      <c r="V9" s="1">
        <v>77</v>
      </c>
      <c r="W9" s="1"/>
      <c r="X9" s="1">
        <v>68</v>
      </c>
      <c r="Y9" s="1"/>
      <c r="Z9" s="1">
        <v>44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/>
      <c r="AO9"/>
      <c r="AP9"/>
      <c r="AQ9"/>
      <c r="AR9"/>
      <c r="AS9"/>
      <c r="AT9"/>
      <c r="AU9"/>
      <c r="AV9"/>
    </row>
    <row r="10" spans="1:48" ht="15" x14ac:dyDescent="0.2">
      <c r="A10" s="7" t="s">
        <v>15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2</v>
      </c>
      <c r="H10" s="1">
        <v>8</v>
      </c>
      <c r="I10" s="1">
        <v>15</v>
      </c>
      <c r="J10" s="1">
        <v>19</v>
      </c>
      <c r="K10" s="1">
        <v>27</v>
      </c>
      <c r="L10" s="1">
        <v>31</v>
      </c>
      <c r="M10" s="1">
        <v>34</v>
      </c>
      <c r="N10" s="1">
        <v>37</v>
      </c>
      <c r="O10" s="1">
        <v>39</v>
      </c>
      <c r="P10" s="1">
        <v>39</v>
      </c>
      <c r="Q10" s="1">
        <v>42</v>
      </c>
      <c r="R10" s="1">
        <v>41</v>
      </c>
      <c r="S10" s="1">
        <v>47</v>
      </c>
      <c r="T10" s="1">
        <v>48</v>
      </c>
      <c r="U10" s="1">
        <v>50</v>
      </c>
      <c r="V10" s="1">
        <v>52</v>
      </c>
      <c r="W10" s="1">
        <v>51</v>
      </c>
      <c r="X10" s="1">
        <v>46</v>
      </c>
      <c r="Y10" s="1">
        <v>34</v>
      </c>
      <c r="Z10" s="1">
        <v>13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/>
      <c r="AO10"/>
      <c r="AP10"/>
      <c r="AQ10"/>
      <c r="AR10"/>
      <c r="AS10"/>
      <c r="AT10"/>
      <c r="AU10"/>
      <c r="AV10"/>
    </row>
    <row r="11" spans="1:48" ht="15" x14ac:dyDescent="0.2">
      <c r="A11" s="7" t="s">
        <v>16</v>
      </c>
      <c r="B11" s="1">
        <v>0</v>
      </c>
      <c r="C11" s="1">
        <v>0</v>
      </c>
      <c r="D11" s="1">
        <v>0</v>
      </c>
      <c r="E11" s="1">
        <v>1</v>
      </c>
      <c r="F11" s="1">
        <v>1</v>
      </c>
      <c r="G11" s="1">
        <v>23</v>
      </c>
      <c r="H11" s="1">
        <v>33</v>
      </c>
      <c r="I11" s="1">
        <v>36</v>
      </c>
      <c r="J11" s="1">
        <v>43</v>
      </c>
      <c r="K11" s="1">
        <v>51</v>
      </c>
      <c r="L11" s="1">
        <v>17</v>
      </c>
      <c r="M11" s="1">
        <v>5</v>
      </c>
      <c r="N11" s="1">
        <v>4</v>
      </c>
      <c r="O11" s="1">
        <v>3</v>
      </c>
      <c r="P11" s="1">
        <v>5</v>
      </c>
      <c r="Q11" s="1">
        <v>8</v>
      </c>
      <c r="R11" s="1">
        <v>5</v>
      </c>
      <c r="S11" s="1">
        <v>2</v>
      </c>
      <c r="T11" s="1">
        <v>5</v>
      </c>
      <c r="U11" s="1">
        <v>4</v>
      </c>
      <c r="V11" s="1">
        <v>4</v>
      </c>
      <c r="W11" s="1">
        <v>5</v>
      </c>
      <c r="X11" s="1">
        <v>5</v>
      </c>
      <c r="Y11" s="1">
        <v>4</v>
      </c>
      <c r="Z11" s="1">
        <v>3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/>
      <c r="AO11"/>
      <c r="AP11"/>
      <c r="AQ11"/>
      <c r="AR11"/>
      <c r="AS11"/>
      <c r="AT11"/>
      <c r="AU11"/>
      <c r="AV11"/>
    </row>
    <row r="12" spans="1:48" ht="15" x14ac:dyDescent="0.2">
      <c r="A12" s="7" t="s">
        <v>17</v>
      </c>
      <c r="B12" s="1">
        <v>36</v>
      </c>
      <c r="C12" s="1">
        <v>42</v>
      </c>
      <c r="D12" s="1">
        <v>47</v>
      </c>
      <c r="E12" s="1">
        <v>53</v>
      </c>
      <c r="F12" s="1">
        <v>56</v>
      </c>
      <c r="G12" s="1">
        <v>60</v>
      </c>
      <c r="H12" s="1">
        <v>64</v>
      </c>
      <c r="I12" s="1">
        <v>68</v>
      </c>
      <c r="J12" s="1">
        <v>70</v>
      </c>
      <c r="K12" s="1">
        <v>75</v>
      </c>
      <c r="L12" s="1">
        <v>76</v>
      </c>
      <c r="M12" s="1">
        <v>78</v>
      </c>
      <c r="N12" s="1">
        <v>82</v>
      </c>
      <c r="O12" s="1">
        <v>82</v>
      </c>
      <c r="P12" s="1">
        <v>84</v>
      </c>
      <c r="Q12" s="1">
        <v>86</v>
      </c>
      <c r="R12" s="1">
        <v>87</v>
      </c>
      <c r="S12" s="1">
        <v>90</v>
      </c>
      <c r="T12" s="1">
        <v>92</v>
      </c>
      <c r="U12" s="1"/>
      <c r="V12" s="1"/>
      <c r="W12" s="1"/>
      <c r="X12" s="1"/>
      <c r="Y12" s="1"/>
      <c r="Z12" s="1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/>
      <c r="AO12"/>
      <c r="AP12"/>
      <c r="AQ12"/>
      <c r="AR12"/>
      <c r="AS12"/>
      <c r="AT12"/>
      <c r="AU12"/>
      <c r="AV12"/>
    </row>
    <row r="13" spans="1:48" ht="15" x14ac:dyDescent="0.2">
      <c r="A13" s="7" t="s">
        <v>18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5</v>
      </c>
      <c r="I13" s="1">
        <v>15</v>
      </c>
      <c r="J13" s="1">
        <v>12</v>
      </c>
      <c r="K13" s="1">
        <v>7</v>
      </c>
      <c r="L13" s="1">
        <v>5</v>
      </c>
      <c r="M13" s="1">
        <v>4</v>
      </c>
      <c r="N13" s="1">
        <v>4</v>
      </c>
      <c r="O13" s="1">
        <v>3</v>
      </c>
      <c r="P13" s="1">
        <v>4</v>
      </c>
      <c r="Q13" s="1">
        <v>2</v>
      </c>
      <c r="R13" s="1">
        <v>2</v>
      </c>
      <c r="S13" s="1">
        <v>2</v>
      </c>
      <c r="T13" s="1">
        <v>2</v>
      </c>
      <c r="U13" s="1">
        <v>2</v>
      </c>
      <c r="V13" s="1">
        <v>2</v>
      </c>
      <c r="W13" s="1">
        <v>2</v>
      </c>
      <c r="X13" s="1">
        <v>1</v>
      </c>
      <c r="Y13" s="1">
        <v>1</v>
      </c>
      <c r="Z13" s="1">
        <v>1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/>
      <c r="AO13"/>
      <c r="AP13"/>
      <c r="AQ13"/>
      <c r="AR13"/>
      <c r="AS13"/>
      <c r="AT13"/>
      <c r="AU13"/>
      <c r="AV13"/>
    </row>
    <row r="14" spans="1:48" ht="15" x14ac:dyDescent="0.2">
      <c r="A14" s="7" t="s">
        <v>19</v>
      </c>
      <c r="B14" s="1">
        <v>32</v>
      </c>
      <c r="C14" s="1">
        <v>36</v>
      </c>
      <c r="D14" s="1">
        <v>41</v>
      </c>
      <c r="E14" s="1">
        <v>45</v>
      </c>
      <c r="F14" s="1">
        <v>49</v>
      </c>
      <c r="G14" s="1">
        <v>53</v>
      </c>
      <c r="H14" s="1">
        <v>56</v>
      </c>
      <c r="I14" s="1">
        <v>59</v>
      </c>
      <c r="J14" s="1">
        <v>60</v>
      </c>
      <c r="K14" s="1">
        <v>62</v>
      </c>
      <c r="L14" s="1">
        <v>64</v>
      </c>
      <c r="M14" s="1">
        <v>68</v>
      </c>
      <c r="N14" s="1">
        <v>68</v>
      </c>
      <c r="O14" s="1">
        <v>70</v>
      </c>
      <c r="P14" s="1">
        <v>71</v>
      </c>
      <c r="Q14" s="1">
        <v>73</v>
      </c>
      <c r="R14" s="1">
        <v>75</v>
      </c>
      <c r="S14" s="1">
        <v>77</v>
      </c>
      <c r="T14" s="1">
        <v>40</v>
      </c>
      <c r="U14" s="1"/>
      <c r="V14" s="1"/>
      <c r="W14" s="1"/>
      <c r="X14" s="1"/>
      <c r="Y14" s="1"/>
      <c r="Z14" s="1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/>
      <c r="AO14"/>
      <c r="AP14"/>
      <c r="AQ14"/>
      <c r="AR14"/>
      <c r="AS14"/>
      <c r="AT14"/>
      <c r="AU14"/>
      <c r="AV14"/>
    </row>
    <row r="15" spans="1:48" ht="15" x14ac:dyDescent="0.2">
      <c r="A15" s="7" t="s">
        <v>20</v>
      </c>
      <c r="B15" s="1">
        <v>0</v>
      </c>
      <c r="C15" s="1">
        <v>0</v>
      </c>
      <c r="D15" s="1">
        <v>0</v>
      </c>
      <c r="E15" s="1">
        <v>0</v>
      </c>
      <c r="F15" s="1">
        <v>18</v>
      </c>
      <c r="G15" s="1">
        <v>31</v>
      </c>
      <c r="H15" s="1">
        <v>45</v>
      </c>
      <c r="I15" s="1">
        <v>52</v>
      </c>
      <c r="J15" s="1">
        <v>63</v>
      </c>
      <c r="K15" s="1">
        <v>69</v>
      </c>
      <c r="L15" s="1">
        <v>76</v>
      </c>
      <c r="M15" s="1">
        <v>78</v>
      </c>
      <c r="N15" s="1">
        <v>86</v>
      </c>
      <c r="O15" s="1">
        <v>99</v>
      </c>
      <c r="P15" s="1">
        <v>61</v>
      </c>
      <c r="Q15" s="1"/>
      <c r="R15" s="1"/>
      <c r="S15" s="1"/>
      <c r="T15" s="1">
        <v>18</v>
      </c>
      <c r="U15" s="1"/>
      <c r="V15" s="1">
        <v>22</v>
      </c>
      <c r="W15" s="1">
        <v>35</v>
      </c>
      <c r="X15" s="1"/>
      <c r="Y15" s="1">
        <v>15</v>
      </c>
      <c r="Z15" s="1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/>
      <c r="AO15"/>
      <c r="AP15"/>
      <c r="AQ15"/>
      <c r="AR15"/>
      <c r="AS15"/>
      <c r="AT15"/>
      <c r="AU15"/>
      <c r="AV15"/>
    </row>
    <row r="16" spans="1:48" ht="15" x14ac:dyDescent="0.2">
      <c r="A16" s="7">
        <v>172230007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25</v>
      </c>
      <c r="N16" s="1">
        <v>39</v>
      </c>
      <c r="O16" s="1">
        <v>64</v>
      </c>
      <c r="P16" s="1">
        <v>65</v>
      </c>
      <c r="Q16" s="1">
        <v>74</v>
      </c>
      <c r="R16" s="1">
        <v>81</v>
      </c>
      <c r="S16" s="1">
        <v>98</v>
      </c>
      <c r="T16" s="1">
        <v>101</v>
      </c>
      <c r="U16" s="1">
        <v>72</v>
      </c>
      <c r="V16" s="1">
        <v>54</v>
      </c>
      <c r="W16" s="1">
        <v>28</v>
      </c>
      <c r="X16" s="1">
        <v>31</v>
      </c>
      <c r="Y16" s="1">
        <v>25</v>
      </c>
      <c r="Z16" s="1">
        <v>18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/>
      <c r="AO16"/>
      <c r="AP16"/>
      <c r="AQ16"/>
      <c r="AR16"/>
      <c r="AS16"/>
      <c r="AT16"/>
      <c r="AU16"/>
      <c r="AV16"/>
    </row>
    <row r="17" spans="1:48" ht="15" x14ac:dyDescent="0.2">
      <c r="A17" s="7">
        <v>172240035</v>
      </c>
      <c r="B17" s="1">
        <v>0</v>
      </c>
      <c r="C17" s="1">
        <v>1</v>
      </c>
      <c r="D17" s="1">
        <v>13</v>
      </c>
      <c r="E17" s="1">
        <v>18</v>
      </c>
      <c r="F17" s="1">
        <v>26</v>
      </c>
      <c r="G17" s="1">
        <v>30</v>
      </c>
      <c r="H17" s="1">
        <v>33</v>
      </c>
      <c r="I17" s="1">
        <v>39</v>
      </c>
      <c r="J17" s="1">
        <v>46</v>
      </c>
      <c r="K17" s="1">
        <v>44</v>
      </c>
      <c r="L17" s="1">
        <v>44</v>
      </c>
      <c r="M17" s="1">
        <v>48</v>
      </c>
      <c r="N17" s="1">
        <v>52</v>
      </c>
      <c r="O17" s="1">
        <v>56</v>
      </c>
      <c r="P17" s="1">
        <v>57</v>
      </c>
      <c r="Q17" s="1">
        <v>64</v>
      </c>
      <c r="R17" s="1">
        <v>70</v>
      </c>
      <c r="S17" s="1">
        <v>72</v>
      </c>
      <c r="T17" s="1">
        <v>76</v>
      </c>
      <c r="U17" s="1">
        <v>81</v>
      </c>
      <c r="V17" s="1">
        <v>84</v>
      </c>
      <c r="W17" s="1">
        <v>89</v>
      </c>
      <c r="X17" s="1">
        <v>92</v>
      </c>
      <c r="Y17" s="1">
        <v>98</v>
      </c>
      <c r="Z17" s="1">
        <v>56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/>
      <c r="AO17"/>
      <c r="AP17"/>
      <c r="AQ17"/>
      <c r="AR17"/>
      <c r="AS17"/>
      <c r="AT17"/>
      <c r="AU17"/>
      <c r="AV17"/>
    </row>
    <row r="18" spans="1:48" ht="15" x14ac:dyDescent="0.2">
      <c r="A18" s="7" t="s">
        <v>21</v>
      </c>
      <c r="B18" s="1">
        <v>1</v>
      </c>
      <c r="C18" s="1">
        <v>1</v>
      </c>
      <c r="D18" s="1">
        <v>15</v>
      </c>
      <c r="E18" s="1">
        <v>19</v>
      </c>
      <c r="F18" s="1">
        <v>24</v>
      </c>
      <c r="G18" s="1">
        <v>31</v>
      </c>
      <c r="H18" s="1">
        <v>29</v>
      </c>
      <c r="I18" s="1">
        <v>36</v>
      </c>
      <c r="J18" s="1">
        <v>36</v>
      </c>
      <c r="K18" s="1">
        <v>42</v>
      </c>
      <c r="L18" s="1">
        <v>46</v>
      </c>
      <c r="M18" s="1">
        <v>43</v>
      </c>
      <c r="N18" s="1">
        <v>46</v>
      </c>
      <c r="O18" s="1">
        <v>46</v>
      </c>
      <c r="P18" s="1">
        <v>47</v>
      </c>
      <c r="Q18" s="1">
        <v>49</v>
      </c>
      <c r="R18" s="1">
        <v>49</v>
      </c>
      <c r="S18" s="1">
        <v>50</v>
      </c>
      <c r="T18" s="1">
        <v>50</v>
      </c>
      <c r="U18" s="1">
        <v>52</v>
      </c>
      <c r="V18" s="1">
        <v>52</v>
      </c>
      <c r="W18" s="1">
        <v>51</v>
      </c>
      <c r="X18" s="1">
        <v>57</v>
      </c>
      <c r="Y18" s="1">
        <v>62</v>
      </c>
      <c r="Z18" s="1">
        <v>65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/>
      <c r="AO18"/>
      <c r="AP18"/>
      <c r="AQ18"/>
      <c r="AR18"/>
      <c r="AS18"/>
      <c r="AT18"/>
      <c r="AU18"/>
      <c r="AV18"/>
    </row>
    <row r="19" spans="1:48" ht="15" x14ac:dyDescent="0.2">
      <c r="A19" s="7" t="s">
        <v>22</v>
      </c>
      <c r="B19" s="1">
        <v>0</v>
      </c>
      <c r="C19" s="1">
        <v>1</v>
      </c>
      <c r="D19" s="1">
        <v>7</v>
      </c>
      <c r="E19" s="1">
        <v>28</v>
      </c>
      <c r="F19" s="1">
        <v>35</v>
      </c>
      <c r="G19" s="1">
        <v>48</v>
      </c>
      <c r="H19" s="1">
        <v>52</v>
      </c>
      <c r="I19" s="1">
        <v>52</v>
      </c>
      <c r="J19" s="1">
        <v>53</v>
      </c>
      <c r="K19" s="1">
        <v>57</v>
      </c>
      <c r="L19" s="1">
        <v>56</v>
      </c>
      <c r="M19" s="1">
        <v>59</v>
      </c>
      <c r="N19" s="1">
        <v>59</v>
      </c>
      <c r="O19" s="1">
        <v>52</v>
      </c>
      <c r="P19" s="1">
        <v>56</v>
      </c>
      <c r="Q19" s="1">
        <v>66</v>
      </c>
      <c r="R19" s="1">
        <v>79</v>
      </c>
      <c r="S19" s="1">
        <v>69</v>
      </c>
      <c r="T19" s="1">
        <v>81</v>
      </c>
      <c r="U19" s="1">
        <v>71</v>
      </c>
      <c r="V19" s="1">
        <v>75</v>
      </c>
      <c r="W19" s="1">
        <v>78</v>
      </c>
      <c r="X19" s="1">
        <v>63</v>
      </c>
      <c r="Y19" s="1">
        <v>74</v>
      </c>
      <c r="Z19" s="1">
        <v>73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/>
      <c r="AO19"/>
      <c r="AP19"/>
      <c r="AQ19"/>
      <c r="AR19"/>
      <c r="AS19"/>
      <c r="AT19"/>
      <c r="AU19"/>
      <c r="AV19"/>
    </row>
    <row r="20" spans="1:48" ht="15" x14ac:dyDescent="0.2">
      <c r="A20" s="7">
        <v>191290025</v>
      </c>
      <c r="B20" s="1">
        <v>2</v>
      </c>
      <c r="C20" s="1">
        <v>12</v>
      </c>
      <c r="D20" s="1">
        <v>25</v>
      </c>
      <c r="E20" s="1">
        <v>40</v>
      </c>
      <c r="F20" s="1">
        <v>47</v>
      </c>
      <c r="G20" s="1">
        <v>45</v>
      </c>
      <c r="H20" s="1">
        <v>52</v>
      </c>
      <c r="I20" s="1">
        <v>49</v>
      </c>
      <c r="J20" s="1">
        <v>48</v>
      </c>
      <c r="K20" s="1">
        <v>61</v>
      </c>
      <c r="L20" s="1">
        <v>58</v>
      </c>
      <c r="M20" s="1">
        <v>56</v>
      </c>
      <c r="N20" s="1">
        <v>64</v>
      </c>
      <c r="O20" s="1">
        <v>67</v>
      </c>
      <c r="P20" s="1">
        <v>66</v>
      </c>
      <c r="Q20" s="1">
        <v>64</v>
      </c>
      <c r="R20" s="1">
        <v>66</v>
      </c>
      <c r="S20" s="1">
        <v>79</v>
      </c>
      <c r="T20" s="1">
        <v>76</v>
      </c>
      <c r="U20" s="1">
        <v>74</v>
      </c>
      <c r="V20" s="1">
        <v>76</v>
      </c>
      <c r="W20" s="1">
        <v>80</v>
      </c>
      <c r="X20" s="1">
        <v>83</v>
      </c>
      <c r="Y20" s="1">
        <v>83</v>
      </c>
      <c r="Z20" s="1">
        <v>86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/>
      <c r="AO20"/>
      <c r="AP20"/>
      <c r="AQ20"/>
      <c r="AR20"/>
      <c r="AS20"/>
      <c r="AT20"/>
      <c r="AU20"/>
      <c r="AV20"/>
    </row>
    <row r="21" spans="1:48" ht="15" x14ac:dyDescent="0.2">
      <c r="A21" s="7">
        <v>192210033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</v>
      </c>
      <c r="J21" s="1">
        <v>5</v>
      </c>
      <c r="K21" s="1">
        <v>2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>
        <v>2</v>
      </c>
      <c r="R21" s="1">
        <v>2</v>
      </c>
      <c r="S21" s="1">
        <v>3</v>
      </c>
      <c r="T21" s="1">
        <v>1</v>
      </c>
      <c r="U21" s="1">
        <v>2</v>
      </c>
      <c r="V21" s="1">
        <v>1</v>
      </c>
      <c r="W21" s="1">
        <v>1</v>
      </c>
      <c r="X21" s="1">
        <v>3</v>
      </c>
      <c r="Y21" s="1">
        <v>2</v>
      </c>
      <c r="Z21" s="1">
        <v>2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/>
      <c r="AO21"/>
      <c r="AP21"/>
      <c r="AQ21"/>
      <c r="AR21"/>
      <c r="AS21"/>
      <c r="AT21"/>
      <c r="AU21"/>
      <c r="AV21"/>
    </row>
    <row r="22" spans="1:48" ht="15" x14ac:dyDescent="0.2">
      <c r="A22" s="7">
        <v>192250020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4</v>
      </c>
      <c r="I22" s="1">
        <v>9</v>
      </c>
      <c r="J22" s="1">
        <v>12</v>
      </c>
      <c r="K22" s="1">
        <v>14</v>
      </c>
      <c r="L22" s="1">
        <v>15</v>
      </c>
      <c r="M22" s="1">
        <v>19</v>
      </c>
      <c r="N22" s="1">
        <v>21</v>
      </c>
      <c r="O22" s="1">
        <v>25</v>
      </c>
      <c r="P22" s="1">
        <v>27</v>
      </c>
      <c r="Q22" s="1">
        <v>27</v>
      </c>
      <c r="R22" s="1">
        <v>31</v>
      </c>
      <c r="S22" s="1">
        <v>32</v>
      </c>
      <c r="T22" s="1">
        <v>34</v>
      </c>
      <c r="U22" s="1">
        <v>35</v>
      </c>
      <c r="V22" s="1">
        <v>37</v>
      </c>
      <c r="W22" s="1">
        <v>38</v>
      </c>
      <c r="X22" s="1">
        <v>39</v>
      </c>
      <c r="Y22" s="1">
        <v>40</v>
      </c>
      <c r="Z22" s="1">
        <v>42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/>
      <c r="AO22"/>
      <c r="AP22"/>
      <c r="AQ22"/>
      <c r="AR22"/>
      <c r="AS22"/>
      <c r="AT22"/>
      <c r="AU22"/>
      <c r="AV22"/>
    </row>
    <row r="23" spans="1:48" ht="15" x14ac:dyDescent="0.2">
      <c r="A23" s="7">
        <v>192250038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4</v>
      </c>
      <c r="I23" s="1">
        <v>9</v>
      </c>
      <c r="J23" s="1">
        <v>12</v>
      </c>
      <c r="K23" s="1">
        <v>14</v>
      </c>
      <c r="L23" s="1">
        <v>15</v>
      </c>
      <c r="M23" s="1">
        <v>19</v>
      </c>
      <c r="N23" s="1">
        <v>21</v>
      </c>
      <c r="O23" s="1">
        <v>25</v>
      </c>
      <c r="P23" s="1">
        <v>27</v>
      </c>
      <c r="Q23" s="1">
        <v>27</v>
      </c>
      <c r="R23" s="1">
        <v>31</v>
      </c>
      <c r="S23" s="1">
        <v>32</v>
      </c>
      <c r="T23" s="1">
        <v>34</v>
      </c>
      <c r="U23" s="1">
        <v>35</v>
      </c>
      <c r="V23" s="1">
        <v>37</v>
      </c>
      <c r="W23" s="1">
        <v>38</v>
      </c>
      <c r="X23" s="1">
        <v>39</v>
      </c>
      <c r="Y23" s="1">
        <v>40</v>
      </c>
      <c r="Z23" s="1">
        <v>42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/>
      <c r="AO23"/>
      <c r="AP23"/>
      <c r="AQ23"/>
      <c r="AR23"/>
      <c r="AS23"/>
      <c r="AT23"/>
      <c r="AU23"/>
      <c r="AV23"/>
    </row>
    <row r="24" spans="1:48" ht="15" x14ac:dyDescent="0.2">
      <c r="A24" s="7">
        <v>193020012</v>
      </c>
      <c r="B24" s="1">
        <v>0</v>
      </c>
      <c r="C24" s="1">
        <v>3</v>
      </c>
      <c r="D24" s="1">
        <v>13</v>
      </c>
      <c r="E24" s="1">
        <v>29</v>
      </c>
      <c r="F24" s="1">
        <v>38</v>
      </c>
      <c r="G24" s="1">
        <v>44</v>
      </c>
      <c r="H24" s="1">
        <v>49</v>
      </c>
      <c r="I24" s="1">
        <v>55</v>
      </c>
      <c r="J24" s="1">
        <v>60</v>
      </c>
      <c r="K24" s="1">
        <v>64</v>
      </c>
      <c r="L24" s="1">
        <v>67</v>
      </c>
      <c r="M24" s="1">
        <v>69</v>
      </c>
      <c r="N24" s="1">
        <v>75</v>
      </c>
      <c r="O24" s="1">
        <v>78</v>
      </c>
      <c r="P24" s="1">
        <v>81</v>
      </c>
      <c r="Q24" s="1">
        <v>83</v>
      </c>
      <c r="R24" s="1">
        <v>87</v>
      </c>
      <c r="S24" s="1">
        <v>90</v>
      </c>
      <c r="T24" s="1">
        <v>92</v>
      </c>
      <c r="U24" s="1">
        <v>93</v>
      </c>
      <c r="V24" s="1">
        <v>98</v>
      </c>
      <c r="W24" s="1">
        <v>99</v>
      </c>
      <c r="X24" s="1"/>
      <c r="Y24" s="1"/>
      <c r="Z24" s="1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/>
      <c r="AO24"/>
      <c r="AP24"/>
      <c r="AQ24"/>
      <c r="AR24"/>
      <c r="AS24"/>
      <c r="AT24"/>
      <c r="AU24"/>
      <c r="AV24"/>
    </row>
    <row r="25" spans="1:48" ht="15" x14ac:dyDescent="0.2">
      <c r="A25" s="7">
        <v>193020020</v>
      </c>
      <c r="B25" s="1"/>
      <c r="C25" s="1">
        <v>21</v>
      </c>
      <c r="D25" s="1">
        <v>31</v>
      </c>
      <c r="E25" s="1">
        <v>34</v>
      </c>
      <c r="F25" s="1">
        <v>37</v>
      </c>
      <c r="G25" s="1">
        <v>38</v>
      </c>
      <c r="H25" s="1">
        <v>44</v>
      </c>
      <c r="I25" s="1">
        <v>46</v>
      </c>
      <c r="J25" s="1">
        <v>48</v>
      </c>
      <c r="K25" s="1">
        <v>50</v>
      </c>
      <c r="L25" s="1">
        <v>54</v>
      </c>
      <c r="M25" s="1">
        <v>54</v>
      </c>
      <c r="N25" s="1">
        <v>55</v>
      </c>
      <c r="O25" s="1">
        <v>56</v>
      </c>
      <c r="P25" s="1">
        <v>61</v>
      </c>
      <c r="Q25" s="1">
        <v>40</v>
      </c>
      <c r="R25" s="1"/>
      <c r="S25" s="1"/>
      <c r="T25" s="1"/>
      <c r="U25" s="1"/>
      <c r="V25" s="1"/>
      <c r="W25" s="1"/>
      <c r="X25" s="1">
        <v>46</v>
      </c>
      <c r="Y25" s="1"/>
      <c r="Z25" s="1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/>
      <c r="AO25"/>
      <c r="AP25"/>
      <c r="AQ25"/>
      <c r="AR25"/>
      <c r="AS25"/>
      <c r="AT25"/>
      <c r="AU25"/>
      <c r="AV25"/>
    </row>
    <row r="26" spans="1:48" ht="15" x14ac:dyDescent="0.2">
      <c r="A26" s="7">
        <v>198130073</v>
      </c>
      <c r="B26" s="1">
        <v>28</v>
      </c>
      <c r="C26" s="1">
        <v>30</v>
      </c>
      <c r="D26" s="1">
        <v>33</v>
      </c>
      <c r="E26" s="1">
        <v>35</v>
      </c>
      <c r="F26" s="1">
        <v>42</v>
      </c>
      <c r="G26" s="1">
        <v>41</v>
      </c>
      <c r="H26" s="1">
        <v>44</v>
      </c>
      <c r="I26" s="1">
        <v>46</v>
      </c>
      <c r="J26" s="1">
        <v>51</v>
      </c>
      <c r="K26" s="1">
        <v>52</v>
      </c>
      <c r="L26" s="1">
        <v>51</v>
      </c>
      <c r="M26" s="1">
        <v>56</v>
      </c>
      <c r="N26" s="1">
        <v>57</v>
      </c>
      <c r="O26" s="1">
        <v>59</v>
      </c>
      <c r="P26" s="1">
        <v>63</v>
      </c>
      <c r="Q26" s="1">
        <v>62</v>
      </c>
      <c r="R26" s="1">
        <v>56</v>
      </c>
      <c r="S26" s="1">
        <v>59</v>
      </c>
      <c r="T26" s="1">
        <v>68</v>
      </c>
      <c r="U26" s="1">
        <v>76</v>
      </c>
      <c r="V26" s="1">
        <v>66</v>
      </c>
      <c r="W26" s="1">
        <v>82</v>
      </c>
      <c r="X26" s="1">
        <v>66</v>
      </c>
      <c r="Y26" s="1">
        <v>24</v>
      </c>
      <c r="Z26" s="1">
        <v>20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/>
      <c r="AO26"/>
      <c r="AP26"/>
      <c r="AQ26"/>
      <c r="AR26"/>
      <c r="AS26"/>
      <c r="AT26"/>
      <c r="AU26"/>
      <c r="AV26"/>
    </row>
    <row r="27" spans="1:48" ht="15" x14ac:dyDescent="0.2">
      <c r="A27" s="7">
        <v>201160009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2</v>
      </c>
      <c r="H27" s="1">
        <v>9</v>
      </c>
      <c r="I27" s="1">
        <v>16</v>
      </c>
      <c r="J27" s="1">
        <v>21</v>
      </c>
      <c r="K27" s="1">
        <v>26</v>
      </c>
      <c r="L27" s="1">
        <v>30</v>
      </c>
      <c r="M27" s="1">
        <v>35</v>
      </c>
      <c r="N27" s="1">
        <v>39</v>
      </c>
      <c r="O27" s="1">
        <v>43</v>
      </c>
      <c r="P27" s="1">
        <v>47</v>
      </c>
      <c r="Q27" s="1">
        <v>51</v>
      </c>
      <c r="R27" s="1">
        <v>54</v>
      </c>
      <c r="S27" s="1">
        <v>56</v>
      </c>
      <c r="T27" s="1">
        <v>60</v>
      </c>
      <c r="U27" s="1">
        <v>62</v>
      </c>
      <c r="V27" s="1">
        <v>64</v>
      </c>
      <c r="W27" s="1">
        <v>67</v>
      </c>
      <c r="X27" s="1">
        <v>70</v>
      </c>
      <c r="Y27" s="1">
        <v>74</v>
      </c>
      <c r="Z27" s="1">
        <v>75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/>
      <c r="AO27"/>
      <c r="AP27"/>
      <c r="AQ27"/>
      <c r="AR27"/>
      <c r="AS27"/>
      <c r="AT27"/>
      <c r="AU27"/>
      <c r="AV27"/>
    </row>
    <row r="28" spans="1:48" ht="15" x14ac:dyDescent="0.2">
      <c r="A28" s="7">
        <v>201160021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9</v>
      </c>
      <c r="H28" s="1">
        <v>16</v>
      </c>
      <c r="I28" s="1">
        <v>23</v>
      </c>
      <c r="J28" s="1">
        <v>25</v>
      </c>
      <c r="K28" s="1">
        <v>38</v>
      </c>
      <c r="L28" s="1">
        <v>43</v>
      </c>
      <c r="M28" s="1">
        <v>47</v>
      </c>
      <c r="N28" s="1">
        <v>53</v>
      </c>
      <c r="O28" s="1">
        <v>58</v>
      </c>
      <c r="P28" s="1">
        <v>62</v>
      </c>
      <c r="Q28" s="1">
        <v>66</v>
      </c>
      <c r="R28" s="1">
        <v>69</v>
      </c>
      <c r="S28" s="1">
        <v>75</v>
      </c>
      <c r="T28" s="1">
        <v>81</v>
      </c>
      <c r="U28" s="1">
        <v>86</v>
      </c>
      <c r="V28" s="1">
        <v>88</v>
      </c>
      <c r="W28" s="1">
        <v>72</v>
      </c>
      <c r="X28" s="1">
        <v>58</v>
      </c>
      <c r="Y28" s="1">
        <v>33</v>
      </c>
      <c r="Z28" s="1">
        <v>27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/>
      <c r="AO28"/>
      <c r="AP28"/>
      <c r="AQ28"/>
      <c r="AR28"/>
      <c r="AS28"/>
      <c r="AT28"/>
      <c r="AU28"/>
      <c r="AV28"/>
    </row>
    <row r="29" spans="1:48" ht="15" x14ac:dyDescent="0.2">
      <c r="A29" s="7">
        <v>201160027</v>
      </c>
      <c r="B29" s="1">
        <v>0</v>
      </c>
      <c r="C29" s="1">
        <v>0</v>
      </c>
      <c r="D29" s="1">
        <v>0</v>
      </c>
      <c r="E29" s="1">
        <v>0</v>
      </c>
      <c r="F29" s="1">
        <v>5</v>
      </c>
      <c r="G29" s="1">
        <v>9</v>
      </c>
      <c r="H29" s="1">
        <v>15</v>
      </c>
      <c r="I29" s="1">
        <v>18</v>
      </c>
      <c r="J29" s="1">
        <v>21</v>
      </c>
      <c r="K29" s="1">
        <v>25</v>
      </c>
      <c r="L29" s="1">
        <v>28</v>
      </c>
      <c r="M29" s="1">
        <v>30</v>
      </c>
      <c r="N29" s="1">
        <v>32</v>
      </c>
      <c r="O29" s="1">
        <v>38</v>
      </c>
      <c r="P29" s="1">
        <v>37</v>
      </c>
      <c r="Q29" s="1">
        <v>37</v>
      </c>
      <c r="R29" s="1">
        <v>39</v>
      </c>
      <c r="S29" s="1">
        <v>41</v>
      </c>
      <c r="T29" s="1">
        <v>42</v>
      </c>
      <c r="U29" s="1">
        <v>44</v>
      </c>
      <c r="V29" s="1">
        <v>48</v>
      </c>
      <c r="W29" s="1">
        <v>46</v>
      </c>
      <c r="X29" s="1">
        <v>47</v>
      </c>
      <c r="Y29" s="1">
        <v>48</v>
      </c>
      <c r="Z29" s="1">
        <v>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/>
      <c r="AO29"/>
      <c r="AP29"/>
      <c r="AQ29"/>
      <c r="AR29"/>
      <c r="AS29"/>
      <c r="AT29"/>
      <c r="AU29"/>
      <c r="AV29"/>
    </row>
    <row r="30" spans="1:48" ht="15" x14ac:dyDescent="0.2">
      <c r="A30" s="7">
        <v>201160044</v>
      </c>
      <c r="B30" s="1">
        <v>28</v>
      </c>
      <c r="C30" s="1">
        <v>30</v>
      </c>
      <c r="D30" s="1">
        <v>31</v>
      </c>
      <c r="E30" s="1">
        <v>35</v>
      </c>
      <c r="F30" s="1">
        <v>37</v>
      </c>
      <c r="G30" s="1">
        <v>40</v>
      </c>
      <c r="H30" s="1">
        <v>43</v>
      </c>
      <c r="I30" s="1">
        <v>47</v>
      </c>
      <c r="J30" s="1">
        <v>47</v>
      </c>
      <c r="K30" s="1">
        <v>49</v>
      </c>
      <c r="L30" s="1">
        <v>51</v>
      </c>
      <c r="M30" s="1">
        <v>52</v>
      </c>
      <c r="N30" s="1">
        <v>55</v>
      </c>
      <c r="O30" s="1">
        <v>57</v>
      </c>
      <c r="P30" s="1">
        <v>57</v>
      </c>
      <c r="Q30" s="1">
        <v>59</v>
      </c>
      <c r="R30" s="1">
        <v>61</v>
      </c>
      <c r="S30" s="1">
        <v>63</v>
      </c>
      <c r="T30" s="1">
        <v>64</v>
      </c>
      <c r="U30" s="1">
        <v>67</v>
      </c>
      <c r="V30" s="1">
        <v>68</v>
      </c>
      <c r="W30" s="1">
        <v>70</v>
      </c>
      <c r="X30" s="1">
        <v>71</v>
      </c>
      <c r="Y30" s="1">
        <v>72</v>
      </c>
      <c r="Z30" s="1">
        <v>75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/>
      <c r="AO30"/>
      <c r="AP30"/>
      <c r="AQ30"/>
      <c r="AR30"/>
      <c r="AS30"/>
      <c r="AT30"/>
      <c r="AU30"/>
      <c r="AV30"/>
    </row>
    <row r="31" spans="1:48" ht="15" x14ac:dyDescent="0.2">
      <c r="A31" s="7">
        <v>201290019</v>
      </c>
      <c r="B31" s="1">
        <v>0</v>
      </c>
      <c r="C31" s="1">
        <v>1</v>
      </c>
      <c r="D31" s="1">
        <v>0</v>
      </c>
      <c r="E31" s="1">
        <v>21</v>
      </c>
      <c r="F31" s="1">
        <v>0</v>
      </c>
      <c r="G31" s="1">
        <v>1</v>
      </c>
      <c r="H31" s="1">
        <v>0</v>
      </c>
      <c r="I31" s="1"/>
      <c r="J31" s="1"/>
      <c r="K31" s="1"/>
      <c r="L31" s="1">
        <v>5</v>
      </c>
      <c r="M31" s="1">
        <v>5</v>
      </c>
      <c r="N31" s="1">
        <v>8</v>
      </c>
      <c r="O31" s="1">
        <v>4</v>
      </c>
      <c r="P31" s="1">
        <v>11</v>
      </c>
      <c r="Q31" s="1"/>
      <c r="R31" s="1">
        <v>10</v>
      </c>
      <c r="S31" s="1">
        <v>4</v>
      </c>
      <c r="T31" s="1">
        <v>11</v>
      </c>
      <c r="U31" s="1">
        <v>9</v>
      </c>
      <c r="V31" s="1">
        <v>7</v>
      </c>
      <c r="W31" s="1">
        <v>4</v>
      </c>
      <c r="X31" s="1">
        <v>10</v>
      </c>
      <c r="Y31" s="1">
        <v>10</v>
      </c>
      <c r="Z31" s="1">
        <v>8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/>
      <c r="AO31"/>
      <c r="AP31"/>
      <c r="AQ31"/>
      <c r="AR31"/>
      <c r="AS31"/>
      <c r="AT31"/>
      <c r="AU31"/>
      <c r="AV31"/>
    </row>
    <row r="32" spans="1:48" ht="15" x14ac:dyDescent="0.2">
      <c r="A32" s="7">
        <v>209230013</v>
      </c>
      <c r="B32" s="1">
        <v>0</v>
      </c>
      <c r="C32" s="1">
        <v>0</v>
      </c>
      <c r="D32" s="1">
        <v>0</v>
      </c>
      <c r="E32" s="1">
        <v>13</v>
      </c>
      <c r="F32" s="1">
        <v>26</v>
      </c>
      <c r="G32" s="1">
        <v>37</v>
      </c>
      <c r="H32" s="1">
        <v>38</v>
      </c>
      <c r="I32" s="1">
        <v>47</v>
      </c>
      <c r="J32" s="1">
        <v>49</v>
      </c>
      <c r="K32" s="1">
        <v>54</v>
      </c>
      <c r="L32" s="1">
        <v>55</v>
      </c>
      <c r="M32" s="1">
        <v>60</v>
      </c>
      <c r="N32" s="1">
        <v>64</v>
      </c>
      <c r="O32" s="1">
        <v>70</v>
      </c>
      <c r="P32" s="1">
        <v>74</v>
      </c>
      <c r="Q32" s="1">
        <v>76</v>
      </c>
      <c r="R32" s="1">
        <v>80</v>
      </c>
      <c r="S32" s="1">
        <v>74</v>
      </c>
      <c r="T32" s="1">
        <v>20</v>
      </c>
      <c r="U32" s="1">
        <v>12</v>
      </c>
      <c r="V32" s="1">
        <v>17</v>
      </c>
      <c r="W32" s="1">
        <v>17</v>
      </c>
      <c r="X32" s="1">
        <v>17</v>
      </c>
      <c r="Y32" s="1"/>
      <c r="Z32" s="1">
        <v>28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/>
      <c r="AO32"/>
      <c r="AP32"/>
      <c r="AQ32"/>
      <c r="AR32"/>
      <c r="AS32"/>
      <c r="AT32"/>
      <c r="AU32"/>
      <c r="AV32"/>
    </row>
    <row r="33" spans="1:48" ht="15" x14ac:dyDescent="0.2">
      <c r="A33" s="7">
        <v>209230030</v>
      </c>
      <c r="B33" s="1">
        <v>35</v>
      </c>
      <c r="C33" s="1">
        <v>34</v>
      </c>
      <c r="D33" s="1">
        <v>38</v>
      </c>
      <c r="E33" s="1">
        <v>41</v>
      </c>
      <c r="F33" s="1">
        <v>43</v>
      </c>
      <c r="G33" s="1">
        <v>45</v>
      </c>
      <c r="H33" s="1">
        <v>48</v>
      </c>
      <c r="I33" s="1">
        <v>51</v>
      </c>
      <c r="J33" s="1">
        <v>55</v>
      </c>
      <c r="K33" s="1">
        <v>58</v>
      </c>
      <c r="L33" s="1">
        <v>61</v>
      </c>
      <c r="M33" s="1">
        <v>64</v>
      </c>
      <c r="N33" s="1">
        <v>65</v>
      </c>
      <c r="O33" s="1">
        <v>66</v>
      </c>
      <c r="P33" s="1">
        <v>69</v>
      </c>
      <c r="Q33" s="1">
        <v>72</v>
      </c>
      <c r="R33" s="1">
        <v>74</v>
      </c>
      <c r="S33" s="1">
        <v>76</v>
      </c>
      <c r="T33" s="1">
        <v>79</v>
      </c>
      <c r="U33" s="1">
        <v>79</v>
      </c>
      <c r="V33" s="1">
        <v>79</v>
      </c>
      <c r="W33" s="1">
        <v>85</v>
      </c>
      <c r="X33" s="1">
        <v>55</v>
      </c>
      <c r="Y33" s="1">
        <v>52</v>
      </c>
      <c r="Z33" s="1">
        <v>55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/>
      <c r="AO33"/>
      <c r="AP33"/>
      <c r="AQ33"/>
      <c r="AR33"/>
      <c r="AS33"/>
      <c r="AT33"/>
      <c r="AU33"/>
      <c r="AV33"/>
    </row>
    <row r="34" spans="1:48" ht="15" x14ac:dyDescent="0.2">
      <c r="A34" s="7" t="s">
        <v>23</v>
      </c>
      <c r="B34" s="1">
        <v>13</v>
      </c>
      <c r="C34" s="1">
        <v>22</v>
      </c>
      <c r="D34" s="1">
        <v>28</v>
      </c>
      <c r="E34" s="1">
        <v>35</v>
      </c>
      <c r="F34" s="1">
        <v>41</v>
      </c>
      <c r="G34" s="1">
        <v>47</v>
      </c>
      <c r="H34" s="1">
        <v>54</v>
      </c>
      <c r="I34" s="1">
        <v>58</v>
      </c>
      <c r="J34" s="1">
        <v>63</v>
      </c>
      <c r="K34" s="1">
        <v>70</v>
      </c>
      <c r="L34" s="1">
        <v>74</v>
      </c>
      <c r="M34" s="1">
        <v>80</v>
      </c>
      <c r="N34" s="1">
        <v>85</v>
      </c>
      <c r="O34" s="1">
        <v>91</v>
      </c>
      <c r="P34" s="1">
        <v>95</v>
      </c>
      <c r="Q34" s="1">
        <v>98</v>
      </c>
      <c r="R34" s="1">
        <v>103</v>
      </c>
      <c r="S34" s="1">
        <v>105</v>
      </c>
      <c r="T34" s="1">
        <v>109</v>
      </c>
      <c r="U34" s="1">
        <v>113</v>
      </c>
      <c r="V34" s="1">
        <v>117</v>
      </c>
      <c r="W34" s="1">
        <v>121</v>
      </c>
      <c r="X34" s="1">
        <v>123</v>
      </c>
      <c r="Y34" s="1">
        <v>127</v>
      </c>
      <c r="Z34" s="1">
        <v>129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/>
      <c r="AO34"/>
      <c r="AP34"/>
      <c r="AQ34"/>
      <c r="AR34"/>
      <c r="AS34"/>
      <c r="AT34"/>
      <c r="AU34"/>
      <c r="AV34"/>
    </row>
    <row r="35" spans="1:48" ht="15" x14ac:dyDescent="0.2">
      <c r="A35" s="7" t="s">
        <v>24</v>
      </c>
      <c r="B35" s="1">
        <v>41</v>
      </c>
      <c r="C35" s="1">
        <v>39</v>
      </c>
      <c r="D35" s="1">
        <v>39</v>
      </c>
      <c r="E35" s="1">
        <v>38</v>
      </c>
      <c r="F35" s="1">
        <v>39</v>
      </c>
      <c r="G35" s="1">
        <v>40</v>
      </c>
      <c r="H35" s="1">
        <v>42</v>
      </c>
      <c r="I35" s="1">
        <v>43</v>
      </c>
      <c r="J35" s="1">
        <v>46</v>
      </c>
      <c r="K35" s="1">
        <v>47</v>
      </c>
      <c r="L35" s="1">
        <v>50</v>
      </c>
      <c r="M35" s="1">
        <v>52</v>
      </c>
      <c r="N35" s="1">
        <v>54</v>
      </c>
      <c r="O35" s="1">
        <v>55</v>
      </c>
      <c r="P35" s="1">
        <v>58</v>
      </c>
      <c r="Q35" s="1">
        <v>58</v>
      </c>
      <c r="R35" s="1">
        <v>59</v>
      </c>
      <c r="S35" s="1">
        <v>62</v>
      </c>
      <c r="T35" s="1">
        <v>63</v>
      </c>
      <c r="U35" s="1">
        <v>65</v>
      </c>
      <c r="V35" s="1">
        <v>66</v>
      </c>
      <c r="W35" s="1">
        <v>66</v>
      </c>
      <c r="X35" s="1">
        <v>69</v>
      </c>
      <c r="Y35" s="1">
        <v>70</v>
      </c>
      <c r="Z35" s="1">
        <v>71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/>
      <c r="AO35"/>
      <c r="AP35"/>
      <c r="AQ35"/>
      <c r="AR35"/>
      <c r="AS35"/>
      <c r="AT35"/>
      <c r="AU35"/>
      <c r="AV35"/>
    </row>
    <row r="36" spans="1:48" ht="15" x14ac:dyDescent="0.2">
      <c r="A36" s="7">
        <v>221060025</v>
      </c>
      <c r="B36" s="1">
        <v>0</v>
      </c>
      <c r="C36" s="1">
        <v>2</v>
      </c>
      <c r="D36" s="1">
        <v>2</v>
      </c>
      <c r="E36" s="1">
        <v>1</v>
      </c>
      <c r="F36" s="1">
        <v>21</v>
      </c>
      <c r="G36" s="1">
        <v>56</v>
      </c>
      <c r="H36" s="1">
        <v>67</v>
      </c>
      <c r="I36" s="1">
        <v>74</v>
      </c>
      <c r="J36" s="1">
        <v>87</v>
      </c>
      <c r="K36" s="1">
        <v>86</v>
      </c>
      <c r="L36" s="1">
        <v>86</v>
      </c>
      <c r="M36" s="1">
        <v>98</v>
      </c>
      <c r="N36" s="1">
        <v>104</v>
      </c>
      <c r="O36" s="1">
        <v>103</v>
      </c>
      <c r="P36" s="1">
        <v>107</v>
      </c>
      <c r="Q36" s="1">
        <v>113</v>
      </c>
      <c r="R36" s="1">
        <v>102</v>
      </c>
      <c r="S36" s="1">
        <v>48</v>
      </c>
      <c r="T36" s="1">
        <v>15</v>
      </c>
      <c r="U36" s="1">
        <v>5</v>
      </c>
      <c r="V36" s="1">
        <v>25</v>
      </c>
      <c r="W36" s="1">
        <v>2</v>
      </c>
      <c r="X36" s="1">
        <v>2</v>
      </c>
      <c r="Y36" s="1">
        <v>3</v>
      </c>
      <c r="Z36" s="1">
        <v>2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/>
      <c r="AO36"/>
      <c r="AP36"/>
      <c r="AQ36"/>
      <c r="AR36"/>
      <c r="AS36"/>
      <c r="AT36"/>
      <c r="AU36"/>
      <c r="AV36"/>
    </row>
    <row r="37" spans="1:48" ht="15" x14ac:dyDescent="0.2">
      <c r="A37" s="7">
        <v>251270020</v>
      </c>
      <c r="B37" s="1">
        <v>8</v>
      </c>
      <c r="C37" s="1">
        <v>14</v>
      </c>
      <c r="D37" s="1">
        <v>19</v>
      </c>
      <c r="E37" s="1">
        <v>22</v>
      </c>
      <c r="F37" s="1">
        <v>25</v>
      </c>
      <c r="G37" s="1">
        <v>29</v>
      </c>
      <c r="H37" s="1">
        <v>33</v>
      </c>
      <c r="I37" s="1">
        <v>36</v>
      </c>
      <c r="J37" s="1">
        <v>40</v>
      </c>
      <c r="K37" s="1">
        <v>44</v>
      </c>
      <c r="L37" s="1">
        <v>47</v>
      </c>
      <c r="M37" s="1">
        <v>50</v>
      </c>
      <c r="N37" s="1">
        <v>56</v>
      </c>
      <c r="O37" s="1">
        <v>59</v>
      </c>
      <c r="P37" s="1">
        <v>60</v>
      </c>
      <c r="Q37" s="1">
        <v>63</v>
      </c>
      <c r="R37" s="1">
        <v>62</v>
      </c>
      <c r="S37" s="1">
        <v>33</v>
      </c>
      <c r="T37" s="1">
        <v>22</v>
      </c>
      <c r="U37" s="1">
        <v>6</v>
      </c>
      <c r="V37" s="1">
        <v>5</v>
      </c>
      <c r="W37" s="1">
        <v>3</v>
      </c>
      <c r="X37" s="1">
        <v>3</v>
      </c>
      <c r="Y37" s="1">
        <v>2</v>
      </c>
      <c r="Z37" s="1">
        <v>2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ht="15" x14ac:dyDescent="0.2">
      <c r="A38" s="7">
        <v>252120005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22</v>
      </c>
      <c r="H38" s="1">
        <v>15</v>
      </c>
      <c r="I38" s="1">
        <v>25</v>
      </c>
      <c r="J38" s="1">
        <v>27</v>
      </c>
      <c r="K38" s="1">
        <v>23</v>
      </c>
      <c r="L38" s="1">
        <v>25</v>
      </c>
      <c r="M38" s="1">
        <v>25</v>
      </c>
      <c r="N38" s="1">
        <v>18</v>
      </c>
      <c r="O38" s="1">
        <v>25</v>
      </c>
      <c r="P38" s="1">
        <v>26</v>
      </c>
      <c r="Q38" s="1">
        <v>26</v>
      </c>
      <c r="R38" s="1">
        <v>25</v>
      </c>
      <c r="S38" s="1">
        <v>22</v>
      </c>
      <c r="T38" s="1">
        <v>21</v>
      </c>
      <c r="U38" s="1">
        <v>21</v>
      </c>
      <c r="V38" s="1">
        <v>24</v>
      </c>
      <c r="W38" s="1">
        <v>23</v>
      </c>
      <c r="X38" s="1">
        <v>23</v>
      </c>
      <c r="Y38" s="1">
        <v>24</v>
      </c>
      <c r="Z38" s="1">
        <v>21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ht="15" x14ac:dyDescent="0.2">
      <c r="A39" s="7">
        <v>252120021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24</v>
      </c>
      <c r="I39" s="1">
        <v>0</v>
      </c>
      <c r="J39" s="1">
        <v>18</v>
      </c>
      <c r="K39" s="1">
        <v>25</v>
      </c>
      <c r="L39" s="1">
        <v>23</v>
      </c>
      <c r="M39" s="1">
        <v>24</v>
      </c>
      <c r="N39" s="1">
        <v>25</v>
      </c>
      <c r="O39" s="1">
        <v>20</v>
      </c>
      <c r="P39" s="1">
        <v>16</v>
      </c>
      <c r="Q39" s="1">
        <v>21</v>
      </c>
      <c r="R39" s="1">
        <v>13</v>
      </c>
      <c r="S39" s="1">
        <v>13</v>
      </c>
      <c r="T39" s="1">
        <v>10</v>
      </c>
      <c r="U39" s="1">
        <v>11</v>
      </c>
      <c r="V39" s="1">
        <v>9</v>
      </c>
      <c r="W39" s="1">
        <v>11</v>
      </c>
      <c r="X39" s="1">
        <v>9</v>
      </c>
      <c r="Y39" s="1">
        <v>8</v>
      </c>
      <c r="Z39" s="1">
        <v>5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s="4" customFormat="1" ht="15" x14ac:dyDescent="0.2">
      <c r="A40" s="5">
        <v>252190013</v>
      </c>
      <c r="B40" s="2">
        <v>42</v>
      </c>
      <c r="C40" s="2">
        <v>43</v>
      </c>
      <c r="D40" s="2">
        <v>42</v>
      </c>
      <c r="E40" s="2">
        <v>39</v>
      </c>
      <c r="F40" s="2">
        <v>42</v>
      </c>
      <c r="G40" s="2">
        <v>44</v>
      </c>
      <c r="H40" s="2">
        <v>48</v>
      </c>
      <c r="I40" s="2">
        <v>54</v>
      </c>
      <c r="J40" s="2">
        <v>57</v>
      </c>
      <c r="K40" s="2">
        <v>63</v>
      </c>
      <c r="L40" s="2">
        <v>66</v>
      </c>
      <c r="M40" s="2">
        <v>28</v>
      </c>
      <c r="N40" s="2">
        <v>4</v>
      </c>
      <c r="O40" s="2">
        <v>28</v>
      </c>
      <c r="P40" s="2">
        <v>15</v>
      </c>
      <c r="Q40" s="2">
        <v>6</v>
      </c>
      <c r="R40" s="2">
        <v>3</v>
      </c>
      <c r="S40" s="2">
        <v>28</v>
      </c>
      <c r="T40" s="2">
        <v>4</v>
      </c>
      <c r="U40" s="2">
        <v>21</v>
      </c>
      <c r="V40" s="2"/>
      <c r="W40" s="2">
        <v>6</v>
      </c>
      <c r="X40" s="2"/>
      <c r="Y40" s="2">
        <v>2</v>
      </c>
      <c r="Z40" s="2">
        <v>3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t="15" x14ac:dyDescent="0.2">
      <c r="A41" s="7">
        <v>253200010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4</v>
      </c>
      <c r="I41" s="1">
        <v>4</v>
      </c>
      <c r="J41" s="1">
        <v>7</v>
      </c>
      <c r="K41" s="1">
        <v>11</v>
      </c>
      <c r="L41" s="1">
        <v>13</v>
      </c>
      <c r="M41" s="1">
        <v>13</v>
      </c>
      <c r="N41" s="1">
        <v>13</v>
      </c>
      <c r="O41" s="1">
        <v>13</v>
      </c>
      <c r="P41" s="1">
        <v>14</v>
      </c>
      <c r="Q41" s="1">
        <v>16</v>
      </c>
      <c r="R41" s="1">
        <v>16</v>
      </c>
      <c r="S41" s="1">
        <v>15</v>
      </c>
      <c r="T41" s="1">
        <v>15</v>
      </c>
      <c r="U41" s="1">
        <v>15</v>
      </c>
      <c r="V41" s="1">
        <v>18</v>
      </c>
      <c r="W41" s="1">
        <v>16</v>
      </c>
      <c r="X41" s="1">
        <v>16</v>
      </c>
      <c r="Y41" s="1">
        <v>17</v>
      </c>
      <c r="Z41" s="1">
        <v>16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t="15" x14ac:dyDescent="0.2">
      <c r="A42" s="7">
        <v>253200037</v>
      </c>
      <c r="B42" s="1">
        <v>0</v>
      </c>
      <c r="C42" s="1">
        <v>0</v>
      </c>
      <c r="D42" s="1">
        <v>1</v>
      </c>
      <c r="E42" s="1">
        <v>13</v>
      </c>
      <c r="F42" s="1">
        <v>16</v>
      </c>
      <c r="G42" s="1">
        <v>21</v>
      </c>
      <c r="H42" s="1">
        <v>24</v>
      </c>
      <c r="I42" s="1">
        <v>26</v>
      </c>
      <c r="J42" s="1">
        <v>31</v>
      </c>
      <c r="K42" s="1">
        <v>32</v>
      </c>
      <c r="L42" s="1">
        <v>39</v>
      </c>
      <c r="M42" s="1">
        <v>40</v>
      </c>
      <c r="N42" s="1">
        <v>44</v>
      </c>
      <c r="O42" s="1">
        <v>47</v>
      </c>
      <c r="P42" s="1">
        <v>50</v>
      </c>
      <c r="Q42" s="1">
        <v>53</v>
      </c>
      <c r="R42" s="1">
        <v>55</v>
      </c>
      <c r="S42" s="1">
        <v>59</v>
      </c>
      <c r="T42" s="1">
        <v>61</v>
      </c>
      <c r="U42" s="1">
        <v>64</v>
      </c>
      <c r="V42" s="1">
        <v>66</v>
      </c>
      <c r="W42" s="1">
        <v>70</v>
      </c>
      <c r="X42" s="1">
        <v>71</v>
      </c>
      <c r="Y42" s="1">
        <v>72</v>
      </c>
      <c r="Z42" s="1">
        <v>76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x14ac:dyDescent="0.2">
      <c r="A43" s="1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5" spans="1:48" x14ac:dyDescent="0.2">
      <c r="A45" s="14" t="s">
        <v>0</v>
      </c>
      <c r="B45" s="1">
        <f t="shared" ref="B45:Z45" si="2">COUNT(B7:B43)</f>
        <v>35</v>
      </c>
      <c r="C45" s="1">
        <f t="shared" si="2"/>
        <v>33</v>
      </c>
      <c r="D45" s="1">
        <f t="shared" si="2"/>
        <v>36</v>
      </c>
      <c r="E45" s="1">
        <f t="shared" si="2"/>
        <v>33</v>
      </c>
      <c r="F45" s="1">
        <f t="shared" si="2"/>
        <v>36</v>
      </c>
      <c r="G45" s="1">
        <f t="shared" si="2"/>
        <v>33</v>
      </c>
      <c r="H45" s="1">
        <f t="shared" si="2"/>
        <v>36</v>
      </c>
      <c r="I45" s="1">
        <f t="shared" si="2"/>
        <v>32</v>
      </c>
      <c r="J45" s="1">
        <f t="shared" si="2"/>
        <v>35</v>
      </c>
      <c r="K45" s="1">
        <f t="shared" si="2"/>
        <v>32</v>
      </c>
      <c r="L45" s="1">
        <f t="shared" si="2"/>
        <v>36</v>
      </c>
      <c r="M45" s="1">
        <f t="shared" si="2"/>
        <v>33</v>
      </c>
      <c r="N45" s="1">
        <f t="shared" si="2"/>
        <v>36</v>
      </c>
      <c r="O45" s="1">
        <f t="shared" si="2"/>
        <v>33</v>
      </c>
      <c r="P45" s="1">
        <f t="shared" si="2"/>
        <v>36</v>
      </c>
      <c r="Q45" s="1">
        <f t="shared" si="2"/>
        <v>31</v>
      </c>
      <c r="R45" s="1">
        <f t="shared" si="2"/>
        <v>34</v>
      </c>
      <c r="S45" s="1">
        <f t="shared" si="2"/>
        <v>31</v>
      </c>
      <c r="T45" s="1">
        <f t="shared" si="2"/>
        <v>35</v>
      </c>
      <c r="U45" s="1">
        <f t="shared" si="2"/>
        <v>29</v>
      </c>
      <c r="V45" s="1">
        <f t="shared" si="2"/>
        <v>32</v>
      </c>
      <c r="W45" s="1">
        <f t="shared" si="2"/>
        <v>30</v>
      </c>
      <c r="X45" s="1">
        <f t="shared" si="2"/>
        <v>31</v>
      </c>
      <c r="Y45" s="1">
        <f t="shared" si="2"/>
        <v>28</v>
      </c>
      <c r="Z45" s="1">
        <f t="shared" si="2"/>
        <v>31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x14ac:dyDescent="0.2">
      <c r="A46" s="14" t="s">
        <v>1</v>
      </c>
      <c r="B46" s="9">
        <f t="shared" ref="B46:Z46" si="3">AVERAGE(B7:B43)</f>
        <v>11.085714285714285</v>
      </c>
      <c r="C46" s="9">
        <f t="shared" si="3"/>
        <v>10.060606060606061</v>
      </c>
      <c r="D46" s="9">
        <f t="shared" si="3"/>
        <v>15.388888888888889</v>
      </c>
      <c r="E46" s="9">
        <f t="shared" si="3"/>
        <v>16.969696969696969</v>
      </c>
      <c r="F46" s="9">
        <f t="shared" si="3"/>
        <v>22.25</v>
      </c>
      <c r="G46" s="9">
        <f t="shared" si="3"/>
        <v>25.696969696969695</v>
      </c>
      <c r="H46" s="9">
        <f t="shared" si="3"/>
        <v>31.861111111111111</v>
      </c>
      <c r="I46" s="9">
        <f t="shared" si="3"/>
        <v>34.6875</v>
      </c>
      <c r="J46" s="9">
        <f t="shared" si="3"/>
        <v>39.457142857142856</v>
      </c>
      <c r="K46" s="9">
        <f t="shared" si="3"/>
        <v>41.9375</v>
      </c>
      <c r="L46" s="9">
        <f t="shared" si="3"/>
        <v>42.611111111111114</v>
      </c>
      <c r="M46" s="9">
        <f t="shared" si="3"/>
        <v>43.030303030303031</v>
      </c>
      <c r="N46" s="9">
        <f t="shared" si="3"/>
        <v>46.138888888888886</v>
      </c>
      <c r="O46" s="9">
        <f t="shared" si="3"/>
        <v>48.575757575757578</v>
      </c>
      <c r="P46" s="9">
        <f t="shared" si="3"/>
        <v>49.916666666666664</v>
      </c>
      <c r="Q46" s="9">
        <f t="shared" si="3"/>
        <v>51.096774193548384</v>
      </c>
      <c r="R46" s="9">
        <f t="shared" si="3"/>
        <v>51.941176470588232</v>
      </c>
      <c r="S46" s="9">
        <f t="shared" si="3"/>
        <v>50.838709677419352</v>
      </c>
      <c r="T46" s="9">
        <f t="shared" si="3"/>
        <v>49.685714285714283</v>
      </c>
      <c r="U46" s="9">
        <f t="shared" si="3"/>
        <v>45.758620689655174</v>
      </c>
      <c r="V46" s="9">
        <f t="shared" si="3"/>
        <v>50.875</v>
      </c>
      <c r="W46" s="9">
        <f t="shared" si="3"/>
        <v>45.2</v>
      </c>
      <c r="X46" s="9">
        <f t="shared" si="3"/>
        <v>47.741935483870968</v>
      </c>
      <c r="Y46" s="9">
        <f t="shared" si="3"/>
        <v>39.857142857142854</v>
      </c>
      <c r="Z46" s="9">
        <f t="shared" si="3"/>
        <v>41.387096774193552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x14ac:dyDescent="0.2">
      <c r="A47" s="15" t="s">
        <v>2</v>
      </c>
      <c r="B47" s="6">
        <f t="shared" ref="B47:Z47" si="4">STDEV(B7:B43)</f>
        <v>19.620474642833798</v>
      </c>
      <c r="C47" s="6">
        <f t="shared" si="4"/>
        <v>15.132620794866041</v>
      </c>
      <c r="D47" s="6">
        <f t="shared" si="4"/>
        <v>20.519367544942618</v>
      </c>
      <c r="E47" s="6">
        <f t="shared" si="4"/>
        <v>17.662610311907553</v>
      </c>
      <c r="F47" s="6">
        <f t="shared" si="4"/>
        <v>22.017363277974177</v>
      </c>
      <c r="G47" s="6">
        <f t="shared" si="4"/>
        <v>20.287750073142735</v>
      </c>
      <c r="H47" s="6">
        <f t="shared" si="4"/>
        <v>23.159265690034029</v>
      </c>
      <c r="I47" s="6">
        <f t="shared" si="4"/>
        <v>21.055131165278851</v>
      </c>
      <c r="J47" s="6">
        <f t="shared" si="4"/>
        <v>23.512628468101806</v>
      </c>
      <c r="K47" s="6">
        <f t="shared" si="4"/>
        <v>22.597369958299527</v>
      </c>
      <c r="L47" s="6">
        <f t="shared" si="4"/>
        <v>25.5290062229253</v>
      </c>
      <c r="M47" s="6">
        <f t="shared" si="4"/>
        <v>24.711440731578218</v>
      </c>
      <c r="N47" s="6">
        <f t="shared" si="4"/>
        <v>28.35101689058364</v>
      </c>
      <c r="O47" s="6">
        <f t="shared" si="4"/>
        <v>27.587395562818067</v>
      </c>
      <c r="P47" s="6">
        <f t="shared" si="4"/>
        <v>28.419686335858309</v>
      </c>
      <c r="Q47" s="6">
        <f t="shared" si="4"/>
        <v>28.595284971138948</v>
      </c>
      <c r="R47" s="6">
        <f t="shared" si="4"/>
        <v>31.312637758937839</v>
      </c>
      <c r="S47" s="6">
        <f t="shared" si="4"/>
        <v>30.075567907293728</v>
      </c>
      <c r="T47" s="6">
        <f t="shared" si="4"/>
        <v>33.007816746742805</v>
      </c>
      <c r="U47" s="6">
        <f t="shared" si="4"/>
        <v>32.816214603252149</v>
      </c>
      <c r="V47" s="6">
        <f t="shared" si="4"/>
        <v>33.465196172123505</v>
      </c>
      <c r="W47" s="6">
        <f t="shared" si="4"/>
        <v>34.660322142681864</v>
      </c>
      <c r="X47" s="6">
        <f t="shared" si="4"/>
        <v>33.375607601895418</v>
      </c>
      <c r="Y47" s="6">
        <f t="shared" si="4"/>
        <v>33.966993004336047</v>
      </c>
      <c r="Z47" s="6">
        <f t="shared" si="4"/>
        <v>35.04442648920066</v>
      </c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</row>
    <row r="48" spans="1:48" x14ac:dyDescent="0.2">
      <c r="A48" s="14" t="s">
        <v>3</v>
      </c>
      <c r="B48" s="6">
        <f t="shared" ref="B48:Z48" si="5">B47/SQRT(B45)</f>
        <v>3.3164655248367914</v>
      </c>
      <c r="C48" s="6">
        <f t="shared" si="5"/>
        <v>2.6342511564367292</v>
      </c>
      <c r="D48" s="6">
        <f t="shared" si="5"/>
        <v>3.4198945908237697</v>
      </c>
      <c r="E48" s="6">
        <f t="shared" si="5"/>
        <v>3.0746658011558039</v>
      </c>
      <c r="F48" s="6">
        <f t="shared" si="5"/>
        <v>3.6695605463290293</v>
      </c>
      <c r="G48" s="6">
        <f t="shared" si="5"/>
        <v>3.5316439773477248</v>
      </c>
      <c r="H48" s="6">
        <f t="shared" si="5"/>
        <v>3.8598776150056717</v>
      </c>
      <c r="I48" s="6">
        <f t="shared" si="5"/>
        <v>3.7220565064352225</v>
      </c>
      <c r="J48" s="6">
        <f t="shared" si="5"/>
        <v>3.9743595979334168</v>
      </c>
      <c r="K48" s="6">
        <f t="shared" si="5"/>
        <v>3.9946883836236915</v>
      </c>
      <c r="L48" s="6">
        <f t="shared" si="5"/>
        <v>4.2548343704875498</v>
      </c>
      <c r="M48" s="6">
        <f t="shared" si="5"/>
        <v>4.3017096778412913</v>
      </c>
      <c r="N48" s="6">
        <f t="shared" si="5"/>
        <v>4.72516948176394</v>
      </c>
      <c r="O48" s="6">
        <f t="shared" si="5"/>
        <v>4.802349153497989</v>
      </c>
      <c r="P48" s="6">
        <f t="shared" si="5"/>
        <v>4.7366143893097181</v>
      </c>
      <c r="Q48" s="6">
        <f t="shared" si="5"/>
        <v>5.1358647937831083</v>
      </c>
      <c r="R48" s="6">
        <f t="shared" si="5"/>
        <v>5.3700730727377382</v>
      </c>
      <c r="S48" s="6">
        <f t="shared" si="5"/>
        <v>5.4017314576162683</v>
      </c>
      <c r="T48" s="6">
        <f t="shared" si="5"/>
        <v>5.5793393525617727</v>
      </c>
      <c r="U48" s="6">
        <f t="shared" si="5"/>
        <v>6.0938180684416157</v>
      </c>
      <c r="V48" s="6">
        <f t="shared" si="5"/>
        <v>5.9158667867616552</v>
      </c>
      <c r="W48" s="6">
        <f t="shared" si="5"/>
        <v>6.3280800959808827</v>
      </c>
      <c r="X48" s="6">
        <f t="shared" si="5"/>
        <v>5.9944360836655513</v>
      </c>
      <c r="Y48" s="6">
        <f t="shared" si="5"/>
        <v>6.4191583052959906</v>
      </c>
      <c r="Z48" s="6">
        <f t="shared" si="5"/>
        <v>6.2941648039479956</v>
      </c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</row>
    <row r="49" spans="1:48" x14ac:dyDescent="0.2">
      <c r="A49" s="10" t="s">
        <v>204</v>
      </c>
    </row>
    <row r="52" spans="1:48" x14ac:dyDescent="0.2">
      <c r="M52" s="12" t="s">
        <v>6</v>
      </c>
    </row>
    <row r="53" spans="1:48" s="8" customFormat="1" x14ac:dyDescent="0.2">
      <c r="A53" s="11" t="s">
        <v>4</v>
      </c>
      <c r="B53" s="1">
        <v>1</v>
      </c>
      <c r="C53" s="1">
        <f t="shared" ref="C53" si="6">B53+1</f>
        <v>2</v>
      </c>
      <c r="D53" s="1">
        <f t="shared" ref="D53" si="7">C53+1</f>
        <v>3</v>
      </c>
      <c r="E53" s="1">
        <f t="shared" ref="E53" si="8">D53+1</f>
        <v>4</v>
      </c>
      <c r="F53" s="1">
        <f t="shared" ref="F53" si="9">E53+1</f>
        <v>5</v>
      </c>
      <c r="G53" s="1">
        <f t="shared" ref="G53" si="10">F53+1</f>
        <v>6</v>
      </c>
      <c r="H53" s="1">
        <f t="shared" ref="H53" si="11">G53+1</f>
        <v>7</v>
      </c>
      <c r="I53" s="1">
        <f t="shared" ref="I53" si="12">H53+1</f>
        <v>8</v>
      </c>
      <c r="J53" s="1">
        <f t="shared" ref="J53" si="13">I53+1</f>
        <v>9</v>
      </c>
      <c r="K53" s="1">
        <f t="shared" ref="K53" si="14">J53+1</f>
        <v>10</v>
      </c>
      <c r="L53" s="1">
        <f t="shared" ref="L53" si="15">K53+1</f>
        <v>11</v>
      </c>
      <c r="M53" s="1">
        <f t="shared" ref="M53" si="16">L53+1</f>
        <v>12</v>
      </c>
      <c r="N53" s="1">
        <f t="shared" ref="N53" si="17">M53+1</f>
        <v>13</v>
      </c>
      <c r="O53" s="1">
        <f t="shared" ref="O53" si="18">N53+1</f>
        <v>14</v>
      </c>
      <c r="P53" s="1">
        <f t="shared" ref="P53" si="19">O53+1</f>
        <v>15</v>
      </c>
      <c r="Q53" s="1">
        <f t="shared" ref="Q53" si="20">P53+1</f>
        <v>16</v>
      </c>
      <c r="R53" s="1">
        <f t="shared" ref="R53" si="21">Q53+1</f>
        <v>17</v>
      </c>
      <c r="S53" s="1">
        <f t="shared" ref="S53" si="22">R53+1</f>
        <v>18</v>
      </c>
      <c r="T53" s="1">
        <f t="shared" ref="T53" si="23">S53+1</f>
        <v>19</v>
      </c>
      <c r="U53" s="1">
        <f t="shared" ref="U53" si="24">T53+1</f>
        <v>20</v>
      </c>
      <c r="V53" s="1">
        <f t="shared" ref="V53" si="25">U53+1</f>
        <v>21</v>
      </c>
      <c r="W53" s="1">
        <f t="shared" ref="W53" si="26">V53+1</f>
        <v>22</v>
      </c>
      <c r="X53" s="1">
        <f t="shared" ref="X53" si="27">W53+1</f>
        <v>23</v>
      </c>
      <c r="Y53" s="1">
        <f t="shared" ref="Y53" si="28">X53+1</f>
        <v>24</v>
      </c>
      <c r="Z53" s="1">
        <f t="shared" ref="Z53" si="29">Y53+1</f>
        <v>25</v>
      </c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8" x14ac:dyDescent="0.2">
      <c r="A54" s="12" t="s">
        <v>9</v>
      </c>
      <c r="B54" s="2">
        <v>-60</v>
      </c>
      <c r="C54" s="2">
        <f t="shared" ref="C54" si="30">B54+10</f>
        <v>-50</v>
      </c>
      <c r="D54" s="2">
        <f t="shared" ref="D54" si="31">C54+10</f>
        <v>-40</v>
      </c>
      <c r="E54" s="2">
        <f t="shared" ref="E54" si="32">D54+10</f>
        <v>-30</v>
      </c>
      <c r="F54" s="2">
        <f t="shared" ref="F54" si="33">E54+10</f>
        <v>-20</v>
      </c>
      <c r="G54" s="2">
        <f t="shared" ref="G54" si="34">F54+10</f>
        <v>-10</v>
      </c>
      <c r="H54" s="2">
        <f t="shared" ref="H54" si="35">G54+10</f>
        <v>0</v>
      </c>
      <c r="I54" s="2">
        <f t="shared" ref="I54" si="36">H54+10</f>
        <v>10</v>
      </c>
      <c r="J54" s="2">
        <f t="shared" ref="J54" si="37">I54+10</f>
        <v>20</v>
      </c>
      <c r="K54" s="2">
        <f t="shared" ref="K54" si="38">J54+10</f>
        <v>30</v>
      </c>
      <c r="L54" s="2">
        <f t="shared" ref="L54" si="39">K54+10</f>
        <v>40</v>
      </c>
      <c r="M54" s="2">
        <f t="shared" ref="M54" si="40">L54+10</f>
        <v>50</v>
      </c>
      <c r="N54" s="2">
        <f t="shared" ref="N54" si="41">M54+10</f>
        <v>60</v>
      </c>
      <c r="O54" s="2">
        <f t="shared" ref="O54" si="42">N54+10</f>
        <v>70</v>
      </c>
      <c r="P54" s="2">
        <f t="shared" ref="P54" si="43">O54+10</f>
        <v>80</v>
      </c>
      <c r="Q54" s="2">
        <f t="shared" ref="Q54" si="44">P54+10</f>
        <v>90</v>
      </c>
      <c r="R54" s="2">
        <f t="shared" ref="R54" si="45">Q54+10</f>
        <v>100</v>
      </c>
      <c r="S54" s="2">
        <f t="shared" ref="S54" si="46">R54+10</f>
        <v>110</v>
      </c>
      <c r="T54" s="2">
        <f t="shared" ref="T54" si="47">S54+10</f>
        <v>120</v>
      </c>
      <c r="U54" s="2">
        <f t="shared" ref="U54" si="48">T54+10</f>
        <v>130</v>
      </c>
      <c r="V54" s="2">
        <f t="shared" ref="V54" si="49">U54+10</f>
        <v>140</v>
      </c>
      <c r="W54" s="2">
        <f t="shared" ref="W54" si="50">V54+10</f>
        <v>150</v>
      </c>
      <c r="X54" s="2">
        <f t="shared" ref="X54" si="51">W54+10</f>
        <v>160</v>
      </c>
      <c r="Y54" s="2">
        <f t="shared" ref="Y54" si="52">X54+10</f>
        <v>170</v>
      </c>
      <c r="Z54" s="2">
        <f t="shared" ref="Z54" si="53">Y54+10</f>
        <v>180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5" x14ac:dyDescent="0.2">
      <c r="A55" s="7" t="s">
        <v>25</v>
      </c>
      <c r="B55" s="1">
        <v>0</v>
      </c>
      <c r="C55" s="1"/>
      <c r="D55" s="1">
        <v>0</v>
      </c>
      <c r="E55" s="1"/>
      <c r="F55" s="1">
        <v>1</v>
      </c>
      <c r="G55" s="1"/>
      <c r="H55" s="1">
        <v>5</v>
      </c>
      <c r="I55" s="1"/>
      <c r="J55" s="1">
        <v>16</v>
      </c>
      <c r="K55" s="1"/>
      <c r="L55" s="1">
        <v>25</v>
      </c>
      <c r="M55" s="1"/>
      <c r="N55" s="1">
        <v>27</v>
      </c>
      <c r="O55" s="1"/>
      <c r="P55" s="1">
        <v>22</v>
      </c>
      <c r="Q55" s="1"/>
      <c r="R55" s="1">
        <v>27</v>
      </c>
      <c r="S55" s="1"/>
      <c r="T55" s="1">
        <v>25</v>
      </c>
      <c r="U55" s="1"/>
      <c r="V55" s="1">
        <v>29</v>
      </c>
      <c r="W55" s="1"/>
      <c r="X55" s="1">
        <v>27</v>
      </c>
      <c r="Y55" s="1"/>
      <c r="Z55" s="1">
        <v>14</v>
      </c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ht="15" x14ac:dyDescent="0.2">
      <c r="A56" s="7">
        <v>132120002</v>
      </c>
      <c r="B56" s="1">
        <v>0</v>
      </c>
      <c r="C56" s="1"/>
      <c r="D56" s="1">
        <v>15</v>
      </c>
      <c r="E56" s="1"/>
      <c r="F56" s="1">
        <v>14</v>
      </c>
      <c r="G56" s="1"/>
      <c r="H56" s="1">
        <v>20</v>
      </c>
      <c r="I56" s="1"/>
      <c r="J56" s="1">
        <v>24</v>
      </c>
      <c r="K56" s="1"/>
      <c r="L56" s="1">
        <v>28</v>
      </c>
      <c r="M56" s="1"/>
      <c r="N56" s="1">
        <v>34</v>
      </c>
      <c r="O56" s="1"/>
      <c r="P56" s="1">
        <v>34</v>
      </c>
      <c r="Q56" s="1"/>
      <c r="R56" s="1">
        <v>19</v>
      </c>
      <c r="S56" s="1"/>
      <c r="T56" s="1"/>
      <c r="U56" s="1"/>
      <c r="V56" s="1">
        <v>3</v>
      </c>
      <c r="W56" s="1"/>
      <c r="X56" s="1">
        <v>2</v>
      </c>
      <c r="Y56" s="1"/>
      <c r="Z56" s="1">
        <v>9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ht="15" x14ac:dyDescent="0.2">
      <c r="A57" s="7">
        <v>132120018</v>
      </c>
      <c r="B57" s="1">
        <v>0</v>
      </c>
      <c r="C57" s="1"/>
      <c r="D57" s="1">
        <v>0</v>
      </c>
      <c r="E57" s="1"/>
      <c r="F57" s="1">
        <v>0</v>
      </c>
      <c r="G57" s="1"/>
      <c r="H57" s="1">
        <v>0</v>
      </c>
      <c r="I57" s="1"/>
      <c r="J57" s="1">
        <v>8</v>
      </c>
      <c r="K57" s="1"/>
      <c r="L57" s="1">
        <v>8</v>
      </c>
      <c r="M57" s="1"/>
      <c r="N57" s="1">
        <v>8</v>
      </c>
      <c r="O57" s="1"/>
      <c r="P57" s="1">
        <v>7</v>
      </c>
      <c r="Q57" s="1"/>
      <c r="R57" s="1">
        <v>8</v>
      </c>
      <c r="S57" s="1"/>
      <c r="T57" s="1">
        <v>7</v>
      </c>
      <c r="U57" s="1"/>
      <c r="V57" s="1">
        <v>7</v>
      </c>
      <c r="W57" s="1"/>
      <c r="X57" s="1">
        <v>8</v>
      </c>
      <c r="Y57" s="1"/>
      <c r="Z57" s="1">
        <v>6</v>
      </c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5" x14ac:dyDescent="0.2">
      <c r="A58" s="7">
        <v>133270004</v>
      </c>
      <c r="B58" s="1">
        <v>0</v>
      </c>
      <c r="C58" s="1"/>
      <c r="D58" s="1">
        <v>0</v>
      </c>
      <c r="E58" s="1"/>
      <c r="F58" s="1">
        <v>0</v>
      </c>
      <c r="G58" s="1"/>
      <c r="H58" s="1">
        <v>0</v>
      </c>
      <c r="I58" s="1"/>
      <c r="J58" s="1">
        <v>18</v>
      </c>
      <c r="K58" s="1"/>
      <c r="L58" s="1">
        <v>32</v>
      </c>
      <c r="M58" s="1"/>
      <c r="N58" s="1">
        <v>38</v>
      </c>
      <c r="O58" s="1"/>
      <c r="P58" s="1">
        <v>8</v>
      </c>
      <c r="Q58" s="43"/>
      <c r="R58" s="43"/>
      <c r="S58" s="43"/>
      <c r="T58" s="43"/>
      <c r="U58" s="43"/>
      <c r="V58" s="43"/>
      <c r="W58" s="43"/>
      <c r="X58" s="43"/>
      <c r="Y58" s="43"/>
      <c r="Z58" s="1">
        <v>9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t="15" x14ac:dyDescent="0.2">
      <c r="A59" s="7">
        <v>133150054</v>
      </c>
      <c r="B59" s="1">
        <v>0</v>
      </c>
      <c r="C59" s="1"/>
      <c r="D59" s="1">
        <v>0</v>
      </c>
      <c r="E59" s="1"/>
      <c r="F59" s="1">
        <v>0</v>
      </c>
      <c r="G59" s="1"/>
      <c r="H59" s="1">
        <v>0</v>
      </c>
      <c r="I59" s="1"/>
      <c r="J59" s="1">
        <v>0</v>
      </c>
      <c r="K59" s="1"/>
      <c r="L59" s="1">
        <v>0</v>
      </c>
      <c r="M59" s="1"/>
      <c r="N59" s="1">
        <v>0</v>
      </c>
      <c r="O59" s="1"/>
      <c r="P59" s="1">
        <v>11</v>
      </c>
      <c r="Q59" s="1"/>
      <c r="R59" s="1">
        <v>19</v>
      </c>
      <c r="S59" s="1"/>
      <c r="T59" s="1">
        <v>7</v>
      </c>
      <c r="U59" s="1"/>
      <c r="V59" s="1">
        <v>21</v>
      </c>
      <c r="W59" s="1"/>
      <c r="X59" s="1">
        <v>22</v>
      </c>
      <c r="Y59" s="1"/>
      <c r="Z59" s="1">
        <v>19</v>
      </c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s="4" customFormat="1" ht="15" x14ac:dyDescent="0.2">
      <c r="A60" s="5">
        <v>146210041</v>
      </c>
      <c r="B60" s="2">
        <v>0</v>
      </c>
      <c r="C60" s="2"/>
      <c r="D60" s="2">
        <v>0</v>
      </c>
      <c r="E60" s="2"/>
      <c r="F60" s="2">
        <v>0</v>
      </c>
      <c r="G60" s="2"/>
      <c r="H60" s="2">
        <v>0</v>
      </c>
      <c r="I60" s="2"/>
      <c r="J60" s="2">
        <v>0</v>
      </c>
      <c r="K60" s="2"/>
      <c r="L60" s="2">
        <v>0</v>
      </c>
      <c r="M60" s="2"/>
      <c r="N60" s="2">
        <v>0</v>
      </c>
      <c r="O60" s="2"/>
      <c r="P60" s="2">
        <v>0</v>
      </c>
      <c r="Q60" s="2"/>
      <c r="R60" s="2">
        <v>33</v>
      </c>
      <c r="S60" s="2"/>
      <c r="T60" s="2">
        <v>55</v>
      </c>
      <c r="U60" s="2"/>
      <c r="V60" s="2">
        <v>64</v>
      </c>
      <c r="W60" s="2"/>
      <c r="X60" s="2">
        <v>80</v>
      </c>
      <c r="Y60" s="2"/>
      <c r="Z60" s="2">
        <v>89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s="4" customFormat="1" ht="15" x14ac:dyDescent="0.2">
      <c r="A61" s="5">
        <v>146230003</v>
      </c>
      <c r="B61" s="2">
        <v>0</v>
      </c>
      <c r="C61" s="2"/>
      <c r="D61" s="2">
        <v>0</v>
      </c>
      <c r="E61" s="2"/>
      <c r="F61" s="2">
        <v>0</v>
      </c>
      <c r="G61" s="2"/>
      <c r="H61" s="2">
        <v>0</v>
      </c>
      <c r="I61" s="2"/>
      <c r="J61" s="2">
        <v>61</v>
      </c>
      <c r="K61" s="2"/>
      <c r="L61" s="2">
        <v>63</v>
      </c>
      <c r="M61" s="2"/>
      <c r="N61" s="2">
        <v>66</v>
      </c>
      <c r="O61" s="2"/>
      <c r="P61" s="2">
        <v>67</v>
      </c>
      <c r="Q61" s="2"/>
      <c r="R61" s="2">
        <v>69</v>
      </c>
      <c r="S61" s="2"/>
      <c r="T61" s="2">
        <v>75</v>
      </c>
      <c r="U61" s="2"/>
      <c r="V61" s="2">
        <v>73</v>
      </c>
      <c r="W61" s="2"/>
      <c r="X61" s="2">
        <v>70</v>
      </c>
      <c r="Y61" s="2"/>
      <c r="Z61" s="2">
        <v>76</v>
      </c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spans="1:48" s="4" customFormat="1" ht="15" x14ac:dyDescent="0.2">
      <c r="A62" s="5">
        <v>146230024</v>
      </c>
      <c r="B62" s="2">
        <v>0</v>
      </c>
      <c r="C62" s="2"/>
      <c r="D62" s="2">
        <v>0</v>
      </c>
      <c r="E62" s="2"/>
      <c r="F62" s="2">
        <v>0</v>
      </c>
      <c r="G62" s="2"/>
      <c r="H62" s="2">
        <v>0</v>
      </c>
      <c r="I62" s="2"/>
      <c r="J62" s="2">
        <v>5</v>
      </c>
      <c r="K62" s="2"/>
      <c r="L62" s="2">
        <v>14</v>
      </c>
      <c r="M62" s="2"/>
      <c r="N62" s="2">
        <v>20</v>
      </c>
      <c r="O62" s="2"/>
      <c r="P62" s="2">
        <v>24</v>
      </c>
      <c r="Q62" s="2"/>
      <c r="R62" s="2">
        <v>28</v>
      </c>
      <c r="S62" s="2"/>
      <c r="T62" s="2">
        <v>30</v>
      </c>
      <c r="U62" s="2"/>
      <c r="V62" s="2">
        <v>32</v>
      </c>
      <c r="W62" s="2"/>
      <c r="X62" s="2">
        <v>34</v>
      </c>
      <c r="Y62" s="2"/>
      <c r="Z62" s="2">
        <v>35</v>
      </c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s="4" customFormat="1" ht="15" x14ac:dyDescent="0.2">
      <c r="A63" s="5">
        <v>146280003</v>
      </c>
      <c r="B63" s="2">
        <v>0</v>
      </c>
      <c r="C63" s="2"/>
      <c r="D63" s="2">
        <v>0</v>
      </c>
      <c r="E63" s="2"/>
      <c r="F63" s="2">
        <v>0</v>
      </c>
      <c r="G63" s="2"/>
      <c r="H63" s="2">
        <v>13</v>
      </c>
      <c r="I63" s="2"/>
      <c r="J63" s="2">
        <v>22</v>
      </c>
      <c r="K63" s="2"/>
      <c r="L63" s="2">
        <v>36</v>
      </c>
      <c r="M63" s="2"/>
      <c r="N63" s="2">
        <v>34</v>
      </c>
      <c r="O63" s="2"/>
      <c r="P63" s="2">
        <v>44</v>
      </c>
      <c r="Q63" s="2"/>
      <c r="R63" s="2">
        <v>41</v>
      </c>
      <c r="S63" s="2"/>
      <c r="T63" s="2">
        <v>44</v>
      </c>
      <c r="U63" s="2"/>
      <c r="V63" s="2">
        <v>43</v>
      </c>
      <c r="W63" s="2"/>
      <c r="X63" s="2">
        <v>41</v>
      </c>
      <c r="Y63" s="2"/>
      <c r="Z63" s="2">
        <v>37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t="15" x14ac:dyDescent="0.2">
      <c r="A64" s="7" t="s">
        <v>26</v>
      </c>
      <c r="B64" s="1">
        <v>0</v>
      </c>
      <c r="C64" s="1">
        <v>0</v>
      </c>
      <c r="D64" s="1">
        <v>3</v>
      </c>
      <c r="E64" s="1">
        <v>0</v>
      </c>
      <c r="F64" s="1">
        <v>0</v>
      </c>
      <c r="G64" s="1">
        <v>2</v>
      </c>
      <c r="H64" s="1">
        <v>6</v>
      </c>
      <c r="I64" s="1">
        <v>8</v>
      </c>
      <c r="J64" s="1">
        <v>10</v>
      </c>
      <c r="K64" s="1">
        <v>10</v>
      </c>
      <c r="L64" s="1">
        <v>10</v>
      </c>
      <c r="M64" s="1">
        <v>9</v>
      </c>
      <c r="N64" s="1">
        <v>6</v>
      </c>
      <c r="O64" s="1">
        <v>5</v>
      </c>
      <c r="P64" s="1">
        <v>4</v>
      </c>
      <c r="Q64" s="1">
        <v>1</v>
      </c>
      <c r="R64" s="1">
        <v>2</v>
      </c>
      <c r="S64" s="1"/>
      <c r="T64" s="1"/>
      <c r="U64" s="1"/>
      <c r="V64" s="1"/>
      <c r="W64" s="1"/>
      <c r="X64" s="1"/>
      <c r="Y64" s="1"/>
      <c r="Z64" s="1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5" x14ac:dyDescent="0.2">
      <c r="A65" s="7" t="s">
        <v>27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1</v>
      </c>
      <c r="I65" s="1">
        <v>14</v>
      </c>
      <c r="J65" s="1">
        <v>6</v>
      </c>
      <c r="K65" s="1">
        <v>8</v>
      </c>
      <c r="L65" s="1">
        <v>11</v>
      </c>
      <c r="M65" s="1">
        <v>14</v>
      </c>
      <c r="N65" s="1">
        <v>13</v>
      </c>
      <c r="O65" s="1">
        <v>12</v>
      </c>
      <c r="P65" s="1">
        <v>15</v>
      </c>
      <c r="Q65" s="1">
        <v>15</v>
      </c>
      <c r="R65" s="1">
        <v>19</v>
      </c>
      <c r="S65" s="1">
        <v>16</v>
      </c>
      <c r="T65" s="1">
        <v>17</v>
      </c>
      <c r="U65" s="1">
        <v>19</v>
      </c>
      <c r="V65" s="1">
        <v>20</v>
      </c>
      <c r="W65" s="1">
        <v>17</v>
      </c>
      <c r="X65" s="1">
        <v>18</v>
      </c>
      <c r="Y65" s="1">
        <v>19</v>
      </c>
      <c r="Z65" s="1">
        <v>21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5" x14ac:dyDescent="0.2">
      <c r="A66" s="7" t="s">
        <v>28</v>
      </c>
      <c r="B66" s="9">
        <v>7</v>
      </c>
      <c r="C66" s="9">
        <v>12.5</v>
      </c>
      <c r="D66" s="9">
        <v>16</v>
      </c>
      <c r="E66" s="9">
        <v>22</v>
      </c>
      <c r="F66" s="9">
        <v>27</v>
      </c>
      <c r="G66" s="9">
        <v>33</v>
      </c>
      <c r="H66" s="9">
        <v>36.5</v>
      </c>
      <c r="I66" s="9">
        <v>40.5</v>
      </c>
      <c r="J66" s="9">
        <v>44.5</v>
      </c>
      <c r="K66" s="9">
        <v>47</v>
      </c>
      <c r="L66" s="9">
        <v>50.5</v>
      </c>
      <c r="M66" s="9">
        <v>53</v>
      </c>
      <c r="N66" s="9">
        <v>55</v>
      </c>
      <c r="O66" s="9">
        <v>58</v>
      </c>
      <c r="P66" s="9">
        <v>59.5</v>
      </c>
      <c r="Q66" s="9">
        <v>62</v>
      </c>
      <c r="R66" s="9">
        <v>63.5</v>
      </c>
      <c r="S66" s="9">
        <v>66</v>
      </c>
      <c r="T66" s="9">
        <v>68</v>
      </c>
      <c r="U66" s="9">
        <v>70.5</v>
      </c>
      <c r="V66" s="9">
        <v>72.5</v>
      </c>
      <c r="W66" s="9">
        <v>74.5</v>
      </c>
      <c r="X66" s="9">
        <v>77</v>
      </c>
      <c r="Y66" s="9">
        <v>72</v>
      </c>
      <c r="Z66" s="9">
        <v>55</v>
      </c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5" x14ac:dyDescent="0.2">
      <c r="A67" s="7">
        <v>171120006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10</v>
      </c>
      <c r="K67" s="1">
        <v>7</v>
      </c>
      <c r="L67" s="1">
        <v>11</v>
      </c>
      <c r="M67" s="1">
        <v>19</v>
      </c>
      <c r="N67" s="1">
        <v>11</v>
      </c>
      <c r="O67" s="1">
        <v>13</v>
      </c>
      <c r="P67" s="1">
        <v>11</v>
      </c>
      <c r="Q67" s="1">
        <v>12</v>
      </c>
      <c r="R67" s="1">
        <v>13</v>
      </c>
      <c r="S67" s="1">
        <v>11</v>
      </c>
      <c r="T67" s="1">
        <v>13</v>
      </c>
      <c r="U67" s="1">
        <v>12</v>
      </c>
      <c r="V67" s="1">
        <v>11</v>
      </c>
      <c r="W67" s="1">
        <v>10</v>
      </c>
      <c r="X67" s="1">
        <v>8</v>
      </c>
      <c r="Y67" s="1">
        <v>11</v>
      </c>
      <c r="Z67" s="1">
        <v>7</v>
      </c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5" x14ac:dyDescent="0.2">
      <c r="A68" s="7" t="s">
        <v>29</v>
      </c>
      <c r="B68" s="1">
        <v>0</v>
      </c>
      <c r="C68" s="1">
        <v>0</v>
      </c>
      <c r="D68" s="1">
        <v>4</v>
      </c>
      <c r="E68" s="1">
        <v>7</v>
      </c>
      <c r="F68" s="1">
        <v>26</v>
      </c>
      <c r="G68" s="1">
        <v>34</v>
      </c>
      <c r="H68" s="1">
        <v>35</v>
      </c>
      <c r="I68" s="1">
        <v>40</v>
      </c>
      <c r="J68" s="1">
        <v>45</v>
      </c>
      <c r="K68" s="1">
        <v>48</v>
      </c>
      <c r="L68" s="1">
        <v>49</v>
      </c>
      <c r="M68" s="1">
        <v>51</v>
      </c>
      <c r="N68" s="1">
        <v>55</v>
      </c>
      <c r="O68" s="1">
        <v>53</v>
      </c>
      <c r="P68" s="1">
        <v>31</v>
      </c>
      <c r="Q68" s="1">
        <v>25</v>
      </c>
      <c r="R68" s="1">
        <v>26</v>
      </c>
      <c r="S68" s="1">
        <v>28</v>
      </c>
      <c r="T68" s="1">
        <v>28</v>
      </c>
      <c r="U68" s="1">
        <v>31</v>
      </c>
      <c r="V68" s="1">
        <v>31</v>
      </c>
      <c r="W68" s="1">
        <v>31</v>
      </c>
      <c r="X68" s="1">
        <v>34</v>
      </c>
      <c r="Y68" s="1">
        <v>35</v>
      </c>
      <c r="Z68" s="1">
        <v>32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5" x14ac:dyDescent="0.2">
      <c r="A69" s="7" t="s">
        <v>30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1</v>
      </c>
      <c r="L69" s="1">
        <v>15</v>
      </c>
      <c r="M69" s="1">
        <v>16</v>
      </c>
      <c r="N69" s="1">
        <v>21</v>
      </c>
      <c r="O69" s="1">
        <v>22</v>
      </c>
      <c r="P69" s="1">
        <v>24</v>
      </c>
      <c r="Q69" s="1">
        <v>26</v>
      </c>
      <c r="R69" s="1">
        <v>29</v>
      </c>
      <c r="S69" s="1">
        <v>30</v>
      </c>
      <c r="T69" s="1">
        <v>32</v>
      </c>
      <c r="U69" s="1">
        <v>33</v>
      </c>
      <c r="V69" s="1">
        <v>35</v>
      </c>
      <c r="W69" s="1">
        <v>38</v>
      </c>
      <c r="X69" s="1">
        <v>38</v>
      </c>
      <c r="Y69" s="1">
        <v>39</v>
      </c>
      <c r="Z69" s="1">
        <v>41</v>
      </c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5" x14ac:dyDescent="0.2">
      <c r="A70" s="7" t="s">
        <v>31</v>
      </c>
      <c r="B70" s="1">
        <v>0</v>
      </c>
      <c r="C70" s="1">
        <v>2</v>
      </c>
      <c r="D70" s="1">
        <v>3</v>
      </c>
      <c r="E70" s="1">
        <v>4</v>
      </c>
      <c r="F70" s="1">
        <v>5</v>
      </c>
      <c r="G70" s="1">
        <v>5</v>
      </c>
      <c r="H70" s="1">
        <v>5</v>
      </c>
      <c r="I70" s="1">
        <v>5</v>
      </c>
      <c r="J70" s="1">
        <v>4</v>
      </c>
      <c r="K70" s="1">
        <v>5</v>
      </c>
      <c r="L70" s="1">
        <v>6</v>
      </c>
      <c r="M70" s="1">
        <v>5</v>
      </c>
      <c r="N70" s="1">
        <v>6</v>
      </c>
      <c r="O70" s="1">
        <v>6</v>
      </c>
      <c r="P70" s="1">
        <v>7</v>
      </c>
      <c r="Q70" s="1">
        <v>6</v>
      </c>
      <c r="R70" s="1">
        <v>8</v>
      </c>
      <c r="S70" s="1">
        <v>8</v>
      </c>
      <c r="T70" s="1">
        <v>8</v>
      </c>
      <c r="U70" s="1">
        <v>8</v>
      </c>
      <c r="V70" s="1">
        <v>8</v>
      </c>
      <c r="W70" s="1">
        <v>8</v>
      </c>
      <c r="X70" s="1">
        <v>9</v>
      </c>
      <c r="Y70" s="1">
        <v>8</v>
      </c>
      <c r="Z70" s="1">
        <v>9</v>
      </c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5" x14ac:dyDescent="0.2">
      <c r="A71" s="5">
        <v>191120017</v>
      </c>
      <c r="B71" s="2">
        <v>14</v>
      </c>
      <c r="C71" s="2">
        <v>15</v>
      </c>
      <c r="D71" s="2">
        <v>19</v>
      </c>
      <c r="E71" s="2">
        <v>20</v>
      </c>
      <c r="F71" s="2">
        <v>22</v>
      </c>
      <c r="G71" s="2">
        <v>24</v>
      </c>
      <c r="H71" s="2">
        <v>26</v>
      </c>
      <c r="I71" s="2">
        <v>28</v>
      </c>
      <c r="J71" s="2">
        <v>31</v>
      </c>
      <c r="K71" s="2">
        <v>33</v>
      </c>
      <c r="L71" s="2">
        <v>35</v>
      </c>
      <c r="M71" s="2">
        <v>37</v>
      </c>
      <c r="N71" s="2">
        <v>38</v>
      </c>
      <c r="O71" s="2">
        <v>41</v>
      </c>
      <c r="P71" s="2">
        <v>43</v>
      </c>
      <c r="Q71" s="2">
        <v>45</v>
      </c>
      <c r="R71" s="2">
        <v>47</v>
      </c>
      <c r="S71" s="2">
        <v>48</v>
      </c>
      <c r="T71" s="2">
        <v>48</v>
      </c>
      <c r="U71" s="2">
        <v>48</v>
      </c>
      <c r="V71" s="2">
        <v>49</v>
      </c>
      <c r="W71" s="2">
        <v>49</v>
      </c>
      <c r="X71" s="2">
        <v>52</v>
      </c>
      <c r="Y71" s="2">
        <v>54</v>
      </c>
      <c r="Z71" s="2">
        <v>55</v>
      </c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5" x14ac:dyDescent="0.2">
      <c r="A72" s="7">
        <v>192160002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15</v>
      </c>
      <c r="K72" s="1">
        <v>12</v>
      </c>
      <c r="L72" s="1">
        <v>13</v>
      </c>
      <c r="M72" s="1">
        <v>7</v>
      </c>
      <c r="N72" s="1">
        <v>8</v>
      </c>
      <c r="O72" s="1">
        <v>6</v>
      </c>
      <c r="P72" s="1">
        <v>5</v>
      </c>
      <c r="Q72" s="1">
        <v>4</v>
      </c>
      <c r="R72" s="1">
        <v>4</v>
      </c>
      <c r="S72" s="1">
        <v>3</v>
      </c>
      <c r="T72" s="1">
        <v>4</v>
      </c>
      <c r="U72" s="1">
        <v>3</v>
      </c>
      <c r="V72" s="1">
        <v>3</v>
      </c>
      <c r="W72" s="1">
        <v>3</v>
      </c>
      <c r="X72" s="1">
        <v>3</v>
      </c>
      <c r="Y72" s="1">
        <v>2</v>
      </c>
      <c r="Z72" s="1">
        <v>3</v>
      </c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5" x14ac:dyDescent="0.2">
      <c r="A73" s="5">
        <v>192200044</v>
      </c>
      <c r="B73" s="2">
        <v>0</v>
      </c>
      <c r="C73" s="2">
        <v>0</v>
      </c>
      <c r="D73" s="2">
        <v>0</v>
      </c>
      <c r="E73" s="2">
        <v>0</v>
      </c>
      <c r="F73" s="2">
        <v>5</v>
      </c>
      <c r="G73" s="2">
        <v>15</v>
      </c>
      <c r="H73" s="2">
        <v>20</v>
      </c>
      <c r="I73" s="2">
        <v>4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1</v>
      </c>
      <c r="R73" s="2">
        <v>1</v>
      </c>
      <c r="S73" s="2">
        <v>2</v>
      </c>
      <c r="T73" s="2">
        <v>2</v>
      </c>
      <c r="U73" s="2">
        <v>2</v>
      </c>
      <c r="V73" s="2">
        <v>0</v>
      </c>
      <c r="W73" s="2">
        <v>2</v>
      </c>
      <c r="X73" s="2">
        <v>2</v>
      </c>
      <c r="Y73" s="2">
        <v>2</v>
      </c>
      <c r="Z73" s="2">
        <v>2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ht="15" x14ac:dyDescent="0.2">
      <c r="A74" s="7">
        <v>193030013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25</v>
      </c>
      <c r="K74" s="1">
        <v>0</v>
      </c>
      <c r="L74" s="1">
        <v>0</v>
      </c>
      <c r="M74" s="1">
        <v>0</v>
      </c>
      <c r="N74" s="1">
        <v>13</v>
      </c>
      <c r="O74" s="1">
        <v>31</v>
      </c>
      <c r="P74" s="1">
        <v>0</v>
      </c>
      <c r="Q74" s="1">
        <v>0</v>
      </c>
      <c r="R74" s="1">
        <v>10</v>
      </c>
      <c r="S74" s="1">
        <v>10</v>
      </c>
      <c r="T74" s="1">
        <v>7</v>
      </c>
      <c r="U74" s="1">
        <v>8</v>
      </c>
      <c r="V74" s="1">
        <v>10</v>
      </c>
      <c r="W74" s="1">
        <v>6</v>
      </c>
      <c r="X74" s="1">
        <v>8</v>
      </c>
      <c r="Y74" s="1">
        <v>5</v>
      </c>
      <c r="Z74" s="1">
        <v>8</v>
      </c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ht="15" x14ac:dyDescent="0.2">
      <c r="A75" s="7">
        <v>198160034</v>
      </c>
      <c r="B75" s="1">
        <v>20</v>
      </c>
      <c r="C75" s="1">
        <v>22</v>
      </c>
      <c r="D75" s="1">
        <v>25</v>
      </c>
      <c r="E75" s="1">
        <v>28</v>
      </c>
      <c r="F75" s="1">
        <v>30</v>
      </c>
      <c r="G75" s="1">
        <v>32</v>
      </c>
      <c r="H75" s="1">
        <v>35</v>
      </c>
      <c r="I75" s="1">
        <v>38</v>
      </c>
      <c r="J75" s="1">
        <v>40</v>
      </c>
      <c r="K75" s="1">
        <v>42</v>
      </c>
      <c r="L75" s="1">
        <v>44</v>
      </c>
      <c r="M75" s="1">
        <v>48</v>
      </c>
      <c r="N75" s="1">
        <v>49</v>
      </c>
      <c r="O75" s="1">
        <v>53</v>
      </c>
      <c r="P75" s="1">
        <v>54</v>
      </c>
      <c r="Q75" s="1">
        <v>55</v>
      </c>
      <c r="R75" s="1">
        <v>56</v>
      </c>
      <c r="S75" s="1">
        <v>58</v>
      </c>
      <c r="T75" s="1">
        <v>59</v>
      </c>
      <c r="U75" s="1">
        <v>61</v>
      </c>
      <c r="V75" s="1">
        <v>64</v>
      </c>
      <c r="W75" s="1">
        <v>65</v>
      </c>
      <c r="X75" s="1">
        <v>66</v>
      </c>
      <c r="Y75" s="1">
        <v>64</v>
      </c>
      <c r="Z75" s="1">
        <v>35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ht="15" x14ac:dyDescent="0.2">
      <c r="A76" s="7" t="s">
        <v>32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8</v>
      </c>
      <c r="I76" s="1">
        <v>10</v>
      </c>
      <c r="J76" s="1">
        <v>13</v>
      </c>
      <c r="K76" s="1">
        <v>16</v>
      </c>
      <c r="L76" s="1">
        <v>17</v>
      </c>
      <c r="M76" s="1">
        <v>20</v>
      </c>
      <c r="N76" s="1">
        <v>21</v>
      </c>
      <c r="O76" s="1">
        <v>24</v>
      </c>
      <c r="P76" s="1">
        <v>27</v>
      </c>
      <c r="Q76" s="1">
        <v>28</v>
      </c>
      <c r="R76" s="1">
        <v>31</v>
      </c>
      <c r="S76" s="1">
        <v>33</v>
      </c>
      <c r="T76" s="1">
        <v>20</v>
      </c>
      <c r="U76" s="1">
        <v>15</v>
      </c>
      <c r="V76" s="1">
        <v>16</v>
      </c>
      <c r="W76" s="1">
        <v>11</v>
      </c>
      <c r="X76" s="1">
        <v>10</v>
      </c>
      <c r="Y76" s="1">
        <v>8</v>
      </c>
      <c r="Z76" s="1">
        <v>8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15" x14ac:dyDescent="0.2">
      <c r="A77" s="7">
        <v>201130004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8</v>
      </c>
      <c r="O77" s="1">
        <v>15</v>
      </c>
      <c r="P77" s="1">
        <v>18</v>
      </c>
      <c r="Q77" s="1">
        <v>23</v>
      </c>
      <c r="R77" s="1">
        <v>28</v>
      </c>
      <c r="S77" s="1">
        <v>30</v>
      </c>
      <c r="T77" s="1">
        <v>36</v>
      </c>
      <c r="U77" s="1">
        <v>40</v>
      </c>
      <c r="V77" s="1">
        <v>40</v>
      </c>
      <c r="W77" s="1">
        <v>45</v>
      </c>
      <c r="X77" s="1">
        <v>49</v>
      </c>
      <c r="Y77" s="1">
        <v>50</v>
      </c>
      <c r="Z77" s="1">
        <v>53</v>
      </c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ht="15" x14ac:dyDescent="0.2">
      <c r="A78" s="7">
        <v>201130031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25</v>
      </c>
      <c r="I78" s="1">
        <v>34</v>
      </c>
      <c r="J78" s="1">
        <v>34</v>
      </c>
      <c r="K78" s="1">
        <v>35</v>
      </c>
      <c r="L78" s="1">
        <v>24</v>
      </c>
      <c r="M78" s="1">
        <v>20</v>
      </c>
      <c r="N78" s="1">
        <v>21</v>
      </c>
      <c r="O78" s="1">
        <v>21</v>
      </c>
      <c r="P78" s="1">
        <v>16</v>
      </c>
      <c r="Q78" s="1">
        <v>18</v>
      </c>
      <c r="R78" s="1">
        <v>17</v>
      </c>
      <c r="S78" s="1">
        <v>17</v>
      </c>
      <c r="T78" s="1">
        <v>17</v>
      </c>
      <c r="U78" s="1">
        <v>15</v>
      </c>
      <c r="V78" s="1">
        <v>15</v>
      </c>
      <c r="W78" s="1">
        <v>15</v>
      </c>
      <c r="X78" s="1">
        <v>12</v>
      </c>
      <c r="Y78" s="1">
        <v>15</v>
      </c>
      <c r="Z78" s="1">
        <v>10</v>
      </c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ht="15" x14ac:dyDescent="0.2">
      <c r="A79" s="7">
        <v>201270007</v>
      </c>
      <c r="B79" s="1">
        <v>0</v>
      </c>
      <c r="C79" s="1">
        <v>0</v>
      </c>
      <c r="D79" s="1">
        <v>1</v>
      </c>
      <c r="E79" s="1">
        <v>5</v>
      </c>
      <c r="F79" s="1">
        <v>12</v>
      </c>
      <c r="G79" s="1">
        <v>13</v>
      </c>
      <c r="H79" s="1">
        <v>20</v>
      </c>
      <c r="I79" s="1">
        <v>23</v>
      </c>
      <c r="J79" s="1">
        <v>27</v>
      </c>
      <c r="K79" s="1">
        <v>29</v>
      </c>
      <c r="L79" s="1">
        <v>31</v>
      </c>
      <c r="M79" s="1">
        <v>34</v>
      </c>
      <c r="N79" s="1">
        <v>36</v>
      </c>
      <c r="O79" s="1">
        <v>38</v>
      </c>
      <c r="P79" s="1">
        <v>40</v>
      </c>
      <c r="Q79" s="1">
        <v>43</v>
      </c>
      <c r="R79" s="1">
        <v>43</v>
      </c>
      <c r="S79" s="1">
        <v>45</v>
      </c>
      <c r="T79" s="1">
        <v>46</v>
      </c>
      <c r="U79" s="1">
        <v>48</v>
      </c>
      <c r="V79" s="1">
        <v>49</v>
      </c>
      <c r="W79" s="1">
        <v>49</v>
      </c>
      <c r="X79" s="1">
        <v>51</v>
      </c>
      <c r="Y79" s="1">
        <v>51</v>
      </c>
      <c r="Z79" s="1">
        <v>52</v>
      </c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5" x14ac:dyDescent="0.2">
      <c r="A80" s="7">
        <v>201270034</v>
      </c>
      <c r="B80" s="1">
        <v>0</v>
      </c>
      <c r="C80" s="1">
        <v>0</v>
      </c>
      <c r="D80" s="1">
        <v>0</v>
      </c>
      <c r="E80" s="1">
        <v>0</v>
      </c>
      <c r="F80" s="1">
        <v>2</v>
      </c>
      <c r="G80" s="1">
        <v>5</v>
      </c>
      <c r="H80" s="1">
        <v>11</v>
      </c>
      <c r="I80" s="1">
        <v>15</v>
      </c>
      <c r="J80" s="1">
        <v>17</v>
      </c>
      <c r="K80" s="1">
        <v>20</v>
      </c>
      <c r="L80" s="1">
        <v>22</v>
      </c>
      <c r="M80" s="1">
        <v>24</v>
      </c>
      <c r="N80" s="1">
        <v>24</v>
      </c>
      <c r="O80" s="1">
        <v>27</v>
      </c>
      <c r="P80" s="1">
        <v>29</v>
      </c>
      <c r="Q80" s="1">
        <v>30</v>
      </c>
      <c r="R80" s="1">
        <v>31</v>
      </c>
      <c r="S80" s="1">
        <v>35</v>
      </c>
      <c r="T80" s="1">
        <v>36</v>
      </c>
      <c r="U80" s="1">
        <v>37</v>
      </c>
      <c r="V80" s="1">
        <v>38</v>
      </c>
      <c r="W80" s="1">
        <v>40</v>
      </c>
      <c r="X80" s="1">
        <v>41</v>
      </c>
      <c r="Y80" s="1">
        <v>42</v>
      </c>
      <c r="Z80" s="1">
        <v>43</v>
      </c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ht="15" x14ac:dyDescent="0.2">
      <c r="A81" s="7">
        <v>209240024</v>
      </c>
      <c r="B81" s="1">
        <v>12</v>
      </c>
      <c r="C81" s="1">
        <v>16</v>
      </c>
      <c r="D81" s="1">
        <v>17</v>
      </c>
      <c r="E81" s="1">
        <v>21</v>
      </c>
      <c r="F81" s="1">
        <v>24</v>
      </c>
      <c r="G81" s="1">
        <v>26</v>
      </c>
      <c r="H81" s="1">
        <v>29</v>
      </c>
      <c r="I81" s="1">
        <v>30</v>
      </c>
      <c r="J81" s="1">
        <v>32</v>
      </c>
      <c r="K81" s="1">
        <v>36</v>
      </c>
      <c r="L81" s="1">
        <v>38</v>
      </c>
      <c r="M81" s="1">
        <v>40</v>
      </c>
      <c r="N81" s="1">
        <v>43</v>
      </c>
      <c r="O81" s="1">
        <v>43</v>
      </c>
      <c r="P81" s="1">
        <v>45</v>
      </c>
      <c r="Q81" s="1">
        <v>48</v>
      </c>
      <c r="R81" s="1">
        <v>51</v>
      </c>
      <c r="S81" s="1">
        <v>52</v>
      </c>
      <c r="T81" s="1">
        <v>54</v>
      </c>
      <c r="U81" s="1">
        <v>56</v>
      </c>
      <c r="V81" s="1">
        <v>58</v>
      </c>
      <c r="W81" s="1">
        <v>60</v>
      </c>
      <c r="X81" s="1">
        <v>62</v>
      </c>
      <c r="Y81" s="1">
        <v>64</v>
      </c>
      <c r="Z81" s="1">
        <v>67</v>
      </c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ht="15" x14ac:dyDescent="0.2">
      <c r="A82" s="7">
        <v>217120034</v>
      </c>
      <c r="B82" s="1">
        <v>11</v>
      </c>
      <c r="C82" s="1">
        <v>10</v>
      </c>
      <c r="D82" s="1">
        <v>19</v>
      </c>
      <c r="E82" s="1">
        <v>16</v>
      </c>
      <c r="F82" s="1">
        <v>13</v>
      </c>
      <c r="G82" s="1">
        <v>11</v>
      </c>
      <c r="H82" s="1">
        <v>15</v>
      </c>
      <c r="I82" s="1">
        <v>14</v>
      </c>
      <c r="J82" s="1">
        <v>17</v>
      </c>
      <c r="K82" s="1">
        <v>12</v>
      </c>
      <c r="L82" s="1">
        <v>10</v>
      </c>
      <c r="M82" s="1">
        <v>12</v>
      </c>
      <c r="N82" s="1">
        <v>8</v>
      </c>
      <c r="O82" s="1">
        <v>13</v>
      </c>
      <c r="P82" s="1">
        <v>7</v>
      </c>
      <c r="Q82" s="1">
        <v>10</v>
      </c>
      <c r="R82" s="1">
        <v>8</v>
      </c>
      <c r="S82" s="1">
        <v>9</v>
      </c>
      <c r="T82" s="1">
        <v>7</v>
      </c>
      <c r="U82" s="1">
        <v>9</v>
      </c>
      <c r="V82" s="1">
        <v>6</v>
      </c>
      <c r="W82" s="1">
        <v>8</v>
      </c>
      <c r="X82" s="1">
        <v>6</v>
      </c>
      <c r="Y82" s="1">
        <v>6</v>
      </c>
      <c r="Z82" s="1">
        <v>7</v>
      </c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5" x14ac:dyDescent="0.2">
      <c r="A83" s="5" t="s">
        <v>33</v>
      </c>
      <c r="B83" s="9">
        <v>54.5</v>
      </c>
      <c r="C83" s="9">
        <v>52</v>
      </c>
      <c r="D83" s="9">
        <v>59.5</v>
      </c>
      <c r="E83" s="9">
        <v>59</v>
      </c>
      <c r="F83" s="9">
        <v>57</v>
      </c>
      <c r="G83" s="9">
        <v>58.5</v>
      </c>
      <c r="H83" s="9">
        <v>59</v>
      </c>
      <c r="I83" s="9">
        <v>65.5</v>
      </c>
      <c r="J83" s="9">
        <v>66</v>
      </c>
      <c r="K83" s="9">
        <v>67.5</v>
      </c>
      <c r="L83" s="9">
        <v>68</v>
      </c>
      <c r="M83" s="9">
        <v>72.5</v>
      </c>
      <c r="N83" s="9">
        <v>76</v>
      </c>
      <c r="O83" s="9">
        <v>80.5</v>
      </c>
      <c r="P83" s="9">
        <v>82</v>
      </c>
      <c r="Q83" s="9">
        <v>83.5</v>
      </c>
      <c r="R83" s="9">
        <v>87</v>
      </c>
      <c r="S83" s="9">
        <v>58.5</v>
      </c>
      <c r="T83" s="1">
        <v>96</v>
      </c>
      <c r="U83" s="1">
        <v>71</v>
      </c>
      <c r="V83" s="1">
        <v>9</v>
      </c>
      <c r="W83" s="1">
        <v>5</v>
      </c>
      <c r="X83" s="1">
        <v>12</v>
      </c>
      <c r="Y83" s="1">
        <v>9</v>
      </c>
      <c r="Z83" s="1">
        <v>22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5" x14ac:dyDescent="0.2">
      <c r="A84" s="5" t="s">
        <v>34</v>
      </c>
      <c r="B84" s="2">
        <v>60</v>
      </c>
      <c r="C84" s="2">
        <v>55</v>
      </c>
      <c r="D84" s="2">
        <v>65</v>
      </c>
      <c r="E84" s="2">
        <v>51</v>
      </c>
      <c r="F84" s="2">
        <v>68</v>
      </c>
      <c r="G84" s="2">
        <v>50</v>
      </c>
      <c r="H84" s="2">
        <v>39</v>
      </c>
      <c r="I84" s="2">
        <v>44</v>
      </c>
      <c r="J84" s="2">
        <v>40</v>
      </c>
      <c r="K84" s="2">
        <v>38</v>
      </c>
      <c r="L84" s="2">
        <v>37</v>
      </c>
      <c r="M84" s="2">
        <v>34</v>
      </c>
      <c r="N84" s="2">
        <v>32</v>
      </c>
      <c r="O84" s="2">
        <v>31</v>
      </c>
      <c r="P84" s="2">
        <v>28</v>
      </c>
      <c r="Q84" s="2">
        <v>26</v>
      </c>
      <c r="R84" s="2">
        <v>19</v>
      </c>
      <c r="S84" s="2">
        <v>22</v>
      </c>
      <c r="T84" s="2">
        <v>11</v>
      </c>
      <c r="U84" s="2">
        <v>20</v>
      </c>
      <c r="V84" s="2">
        <v>18</v>
      </c>
      <c r="W84" s="2">
        <v>16</v>
      </c>
      <c r="X84" s="2">
        <v>9</v>
      </c>
      <c r="Y84" s="2">
        <v>10</v>
      </c>
      <c r="Z84" s="2">
        <v>16</v>
      </c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5" x14ac:dyDescent="0.2">
      <c r="A85" s="5" t="s">
        <v>163</v>
      </c>
      <c r="B85" s="1">
        <v>35</v>
      </c>
      <c r="C85" s="1">
        <v>26</v>
      </c>
      <c r="D85" s="1">
        <v>22</v>
      </c>
      <c r="E85" s="1">
        <v>21</v>
      </c>
      <c r="F85" s="1">
        <v>23</v>
      </c>
      <c r="G85" s="1">
        <v>24</v>
      </c>
      <c r="H85" s="1">
        <v>29</v>
      </c>
      <c r="I85" s="1">
        <v>30</v>
      </c>
      <c r="J85" s="1">
        <v>33</v>
      </c>
      <c r="K85" s="1">
        <v>37</v>
      </c>
      <c r="L85" s="1">
        <v>40</v>
      </c>
      <c r="M85" s="1">
        <v>40</v>
      </c>
      <c r="N85" s="1">
        <v>48</v>
      </c>
      <c r="O85" s="1">
        <v>49</v>
      </c>
      <c r="P85" s="1">
        <v>48</v>
      </c>
      <c r="Q85" s="1">
        <v>30</v>
      </c>
      <c r="R85" s="1">
        <v>0</v>
      </c>
      <c r="S85" s="1">
        <v>9</v>
      </c>
      <c r="T85" s="1">
        <v>7</v>
      </c>
      <c r="U85" s="1">
        <v>7</v>
      </c>
      <c r="V85" s="1">
        <v>6</v>
      </c>
      <c r="W85" s="1">
        <v>5</v>
      </c>
      <c r="X85" s="1">
        <v>4</v>
      </c>
      <c r="Y85" s="1">
        <v>5</v>
      </c>
      <c r="Z85" s="1">
        <v>5</v>
      </c>
    </row>
    <row r="86" spans="1:48" ht="15" x14ac:dyDescent="0.2">
      <c r="A86" s="5">
        <v>251090017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1">
        <v>6</v>
      </c>
      <c r="I86" s="1">
        <v>11</v>
      </c>
      <c r="J86" s="1">
        <v>16</v>
      </c>
      <c r="K86" s="1">
        <v>18</v>
      </c>
      <c r="L86" s="1">
        <v>19</v>
      </c>
      <c r="M86" s="1">
        <v>23</v>
      </c>
      <c r="N86" s="1">
        <v>25</v>
      </c>
      <c r="O86" s="1">
        <v>26</v>
      </c>
      <c r="P86" s="1">
        <v>23</v>
      </c>
      <c r="Q86" s="1">
        <v>18</v>
      </c>
      <c r="R86" s="1">
        <v>14</v>
      </c>
      <c r="S86" s="1">
        <v>11</v>
      </c>
      <c r="T86" s="1">
        <v>8</v>
      </c>
      <c r="U86" s="1">
        <v>5</v>
      </c>
      <c r="V86" s="1">
        <v>5</v>
      </c>
      <c r="W86" s="1">
        <v>4</v>
      </c>
      <c r="X86" s="1">
        <v>4</v>
      </c>
      <c r="Y86" s="1">
        <v>4</v>
      </c>
      <c r="Z86" s="1">
        <v>3</v>
      </c>
    </row>
    <row r="87" spans="1:48" ht="15" x14ac:dyDescent="0.2">
      <c r="A87" s="5">
        <v>251160011</v>
      </c>
      <c r="B87" s="2">
        <v>0</v>
      </c>
      <c r="C87" s="2">
        <v>0</v>
      </c>
      <c r="D87" s="2">
        <v>0</v>
      </c>
      <c r="E87" s="2">
        <v>0</v>
      </c>
      <c r="F87" s="2">
        <v>2</v>
      </c>
      <c r="G87" s="2">
        <v>8</v>
      </c>
      <c r="H87" s="2">
        <v>12</v>
      </c>
      <c r="I87" s="2">
        <v>16</v>
      </c>
      <c r="J87" s="2">
        <v>21</v>
      </c>
      <c r="K87" s="2">
        <v>23</v>
      </c>
      <c r="L87" s="2">
        <v>25</v>
      </c>
      <c r="M87" s="2">
        <v>29</v>
      </c>
      <c r="N87" s="2">
        <v>14</v>
      </c>
      <c r="O87" s="2">
        <v>3</v>
      </c>
      <c r="P87" s="2">
        <v>3</v>
      </c>
      <c r="Q87" s="2">
        <v>1</v>
      </c>
      <c r="R87" s="2">
        <v>1</v>
      </c>
      <c r="S87" s="2">
        <v>2</v>
      </c>
      <c r="T87" s="2">
        <v>1</v>
      </c>
      <c r="U87" s="2">
        <v>2</v>
      </c>
      <c r="V87" s="2">
        <v>1</v>
      </c>
      <c r="W87" s="2">
        <v>2</v>
      </c>
      <c r="X87" s="2">
        <v>0</v>
      </c>
      <c r="Y87" s="2">
        <v>1</v>
      </c>
      <c r="Z87" s="2">
        <v>1</v>
      </c>
    </row>
    <row r="88" spans="1:48" ht="15" x14ac:dyDescent="0.2">
      <c r="A88" s="5">
        <v>251160026</v>
      </c>
      <c r="B88" s="2">
        <v>0</v>
      </c>
      <c r="C88" s="2">
        <v>0</v>
      </c>
      <c r="D88" s="2">
        <v>0</v>
      </c>
      <c r="E88" s="1">
        <v>1</v>
      </c>
      <c r="F88" s="1">
        <v>1</v>
      </c>
      <c r="G88" s="1">
        <v>9</v>
      </c>
      <c r="H88" s="1">
        <v>12</v>
      </c>
      <c r="I88" s="1">
        <v>18</v>
      </c>
      <c r="J88" s="1">
        <v>22</v>
      </c>
      <c r="K88" s="1">
        <v>24</v>
      </c>
      <c r="L88" s="1">
        <v>28</v>
      </c>
      <c r="M88" s="1">
        <v>23</v>
      </c>
      <c r="N88" s="1">
        <v>18</v>
      </c>
      <c r="O88" s="1">
        <v>6</v>
      </c>
      <c r="P88" s="1">
        <v>7</v>
      </c>
      <c r="Q88" s="1">
        <v>8</v>
      </c>
      <c r="R88" s="1">
        <v>9</v>
      </c>
      <c r="S88" s="1">
        <v>9</v>
      </c>
      <c r="T88" s="1">
        <v>9</v>
      </c>
      <c r="U88" s="1">
        <v>13</v>
      </c>
      <c r="V88" s="1">
        <v>11</v>
      </c>
      <c r="W88" s="1">
        <v>12</v>
      </c>
      <c r="X88" s="1">
        <v>10</v>
      </c>
      <c r="Y88" s="1">
        <v>10</v>
      </c>
      <c r="Z88" s="1">
        <v>11</v>
      </c>
    </row>
    <row r="89" spans="1:48" ht="15" x14ac:dyDescent="0.2">
      <c r="A89" s="5">
        <v>251160044</v>
      </c>
      <c r="B89" s="2">
        <v>0</v>
      </c>
      <c r="C89" s="2">
        <v>0</v>
      </c>
      <c r="D89" s="2">
        <v>0</v>
      </c>
      <c r="E89" s="1">
        <v>0</v>
      </c>
      <c r="F89" s="1">
        <v>1</v>
      </c>
      <c r="G89" s="1">
        <v>1</v>
      </c>
      <c r="H89" s="1">
        <v>15</v>
      </c>
      <c r="I89" s="1">
        <v>20</v>
      </c>
      <c r="J89" s="1">
        <v>23</v>
      </c>
      <c r="K89" s="1">
        <v>27</v>
      </c>
      <c r="L89" s="1">
        <v>26</v>
      </c>
      <c r="M89" s="1">
        <v>22</v>
      </c>
      <c r="N89" s="1">
        <v>20</v>
      </c>
      <c r="O89" s="1">
        <v>22</v>
      </c>
      <c r="P89" s="1">
        <v>20</v>
      </c>
      <c r="Q89" s="1">
        <v>22</v>
      </c>
      <c r="R89" s="1">
        <v>24</v>
      </c>
      <c r="S89" s="1">
        <v>25</v>
      </c>
      <c r="T89" s="1">
        <v>25</v>
      </c>
      <c r="U89" s="1">
        <v>20</v>
      </c>
      <c r="V89" s="1">
        <v>21</v>
      </c>
      <c r="W89" s="1">
        <v>20</v>
      </c>
      <c r="X89" s="1">
        <v>18</v>
      </c>
      <c r="Y89" s="1">
        <v>20</v>
      </c>
      <c r="Z89" s="1">
        <v>21</v>
      </c>
    </row>
    <row r="90" spans="1:48" ht="15" x14ac:dyDescent="0.2">
      <c r="A90" s="5">
        <v>252250003</v>
      </c>
      <c r="B90" s="2">
        <v>0</v>
      </c>
      <c r="C90" s="2">
        <v>0</v>
      </c>
      <c r="D90" s="2">
        <v>0</v>
      </c>
      <c r="E90" s="1">
        <v>0</v>
      </c>
      <c r="F90" s="1">
        <v>2</v>
      </c>
      <c r="G90" s="1">
        <v>4</v>
      </c>
      <c r="H90" s="1">
        <v>2</v>
      </c>
      <c r="I90" s="1">
        <v>6</v>
      </c>
      <c r="J90" s="1">
        <v>6</v>
      </c>
      <c r="K90" s="1">
        <v>8</v>
      </c>
      <c r="L90" s="1">
        <v>8</v>
      </c>
      <c r="M90" s="1">
        <v>10</v>
      </c>
      <c r="N90" s="1">
        <v>10</v>
      </c>
      <c r="O90" s="1">
        <v>10</v>
      </c>
      <c r="P90" s="1">
        <v>10</v>
      </c>
      <c r="Q90" s="1">
        <v>10</v>
      </c>
      <c r="R90" s="1">
        <v>12</v>
      </c>
      <c r="S90" s="1">
        <v>12</v>
      </c>
      <c r="T90" s="1">
        <v>14</v>
      </c>
      <c r="U90" s="1">
        <v>14</v>
      </c>
      <c r="V90" s="1">
        <v>14</v>
      </c>
      <c r="W90" s="1">
        <v>14</v>
      </c>
      <c r="X90" s="1">
        <v>14</v>
      </c>
      <c r="Y90" s="1">
        <v>13</v>
      </c>
      <c r="Z90" s="1">
        <v>13</v>
      </c>
    </row>
    <row r="91" spans="1:48" ht="15" x14ac:dyDescent="0.2">
      <c r="A91" s="5">
        <v>253190028</v>
      </c>
      <c r="B91" s="2">
        <v>0</v>
      </c>
      <c r="C91" s="2">
        <v>0</v>
      </c>
      <c r="D91" s="1">
        <v>1</v>
      </c>
      <c r="E91" s="1">
        <v>4</v>
      </c>
      <c r="F91" s="2">
        <v>0</v>
      </c>
      <c r="G91" s="2">
        <v>0</v>
      </c>
      <c r="H91" s="1">
        <v>1</v>
      </c>
      <c r="I91" s="1">
        <v>2</v>
      </c>
      <c r="J91" s="1">
        <v>2</v>
      </c>
      <c r="K91" s="1">
        <v>2</v>
      </c>
      <c r="L91" s="1">
        <v>0</v>
      </c>
      <c r="M91" s="1">
        <v>1</v>
      </c>
      <c r="N91" s="1">
        <v>3</v>
      </c>
      <c r="O91" s="1">
        <v>3</v>
      </c>
      <c r="P91" s="1">
        <v>5</v>
      </c>
      <c r="Q91" s="1">
        <v>6</v>
      </c>
      <c r="R91" s="1">
        <v>5</v>
      </c>
      <c r="S91" s="1">
        <v>7</v>
      </c>
      <c r="T91" s="1">
        <v>7</v>
      </c>
      <c r="U91" s="1">
        <v>6</v>
      </c>
      <c r="V91" s="1">
        <v>5</v>
      </c>
      <c r="W91" s="1">
        <v>6</v>
      </c>
      <c r="X91" s="1">
        <v>5</v>
      </c>
      <c r="Y91" s="1">
        <v>6</v>
      </c>
      <c r="Z91" s="1">
        <v>4</v>
      </c>
    </row>
    <row r="92" spans="1:48" ht="15" x14ac:dyDescent="0.2">
      <c r="A92" s="5">
        <v>254020031</v>
      </c>
      <c r="B92" s="2">
        <v>0</v>
      </c>
      <c r="C92" s="1">
        <v>5</v>
      </c>
      <c r="D92" s="1">
        <v>11</v>
      </c>
      <c r="E92" s="1">
        <v>15</v>
      </c>
      <c r="F92" s="1">
        <v>23</v>
      </c>
      <c r="G92" s="1">
        <v>25</v>
      </c>
      <c r="H92" s="1">
        <v>28</v>
      </c>
      <c r="I92" s="1">
        <v>32</v>
      </c>
      <c r="J92" s="1">
        <v>13</v>
      </c>
      <c r="K92" s="1">
        <v>0</v>
      </c>
      <c r="L92" s="1">
        <v>35</v>
      </c>
      <c r="M92" s="1">
        <v>3</v>
      </c>
      <c r="N92" s="1">
        <v>3</v>
      </c>
      <c r="O92" s="1">
        <v>2</v>
      </c>
      <c r="P92" s="1">
        <v>3</v>
      </c>
      <c r="Q92" s="1">
        <v>3</v>
      </c>
      <c r="R92" s="1">
        <v>1</v>
      </c>
      <c r="S92" s="1">
        <v>2</v>
      </c>
      <c r="T92" s="1">
        <v>2</v>
      </c>
      <c r="U92" s="1">
        <v>2</v>
      </c>
      <c r="V92" s="1">
        <v>2</v>
      </c>
      <c r="W92" s="1">
        <v>2</v>
      </c>
      <c r="X92" s="1">
        <v>1</v>
      </c>
      <c r="Y92" s="1">
        <v>1</v>
      </c>
      <c r="Z92" s="1">
        <v>1</v>
      </c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ht="15" x14ac:dyDescent="0.2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x14ac:dyDescent="0.2">
      <c r="A94" s="1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x14ac:dyDescent="0.2">
      <c r="A95" s="14" t="s">
        <v>0</v>
      </c>
      <c r="B95" s="1">
        <f t="shared" ref="B95:Z95" si="54">COUNT(B55:B94)</f>
        <v>38</v>
      </c>
      <c r="C95" s="1">
        <f t="shared" si="54"/>
        <v>29</v>
      </c>
      <c r="D95" s="1">
        <f t="shared" si="54"/>
        <v>38</v>
      </c>
      <c r="E95" s="1">
        <f t="shared" si="54"/>
        <v>29</v>
      </c>
      <c r="F95" s="1">
        <f t="shared" si="54"/>
        <v>38</v>
      </c>
      <c r="G95" s="1">
        <f t="shared" si="54"/>
        <v>29</v>
      </c>
      <c r="H95" s="1">
        <f t="shared" si="54"/>
        <v>38</v>
      </c>
      <c r="I95" s="1">
        <f t="shared" si="54"/>
        <v>29</v>
      </c>
      <c r="J95" s="1">
        <f t="shared" si="54"/>
        <v>38</v>
      </c>
      <c r="K95" s="1">
        <f t="shared" si="54"/>
        <v>29</v>
      </c>
      <c r="L95" s="1">
        <f t="shared" si="54"/>
        <v>38</v>
      </c>
      <c r="M95" s="1">
        <f t="shared" si="54"/>
        <v>29</v>
      </c>
      <c r="N95" s="1">
        <f t="shared" si="54"/>
        <v>38</v>
      </c>
      <c r="O95" s="1">
        <f t="shared" si="54"/>
        <v>29</v>
      </c>
      <c r="P95" s="1">
        <f t="shared" si="54"/>
        <v>38</v>
      </c>
      <c r="Q95" s="1">
        <f t="shared" si="54"/>
        <v>29</v>
      </c>
      <c r="R95" s="1">
        <f t="shared" si="54"/>
        <v>37</v>
      </c>
      <c r="S95" s="1">
        <f t="shared" si="54"/>
        <v>28</v>
      </c>
      <c r="T95" s="1">
        <f t="shared" si="54"/>
        <v>35</v>
      </c>
      <c r="U95" s="1">
        <f t="shared" si="54"/>
        <v>28</v>
      </c>
      <c r="V95" s="1">
        <f t="shared" si="54"/>
        <v>36</v>
      </c>
      <c r="W95" s="1">
        <f t="shared" si="54"/>
        <v>28</v>
      </c>
      <c r="X95" s="1">
        <f t="shared" si="54"/>
        <v>36</v>
      </c>
      <c r="Y95" s="1">
        <f t="shared" si="54"/>
        <v>28</v>
      </c>
      <c r="Z95" s="1">
        <f t="shared" si="54"/>
        <v>37</v>
      </c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x14ac:dyDescent="0.2">
      <c r="A96" s="14" t="s">
        <v>1</v>
      </c>
      <c r="B96" s="9">
        <f t="shared" ref="B96:Z96" si="55">AVERAGE(B55:B94)</f>
        <v>5.6184210526315788</v>
      </c>
      <c r="C96" s="9">
        <f t="shared" si="55"/>
        <v>7.431034482758621</v>
      </c>
      <c r="D96" s="9">
        <f t="shared" si="55"/>
        <v>7.3815789473684212</v>
      </c>
      <c r="E96" s="9">
        <f t="shared" si="55"/>
        <v>9.4482758620689662</v>
      </c>
      <c r="F96" s="9">
        <f t="shared" si="55"/>
        <v>9.4210526315789469</v>
      </c>
      <c r="G96" s="9">
        <f t="shared" si="55"/>
        <v>13.086206896551724</v>
      </c>
      <c r="H96" s="9">
        <f t="shared" si="55"/>
        <v>13.513157894736842</v>
      </c>
      <c r="I96" s="9">
        <f t="shared" si="55"/>
        <v>18.896551724137932</v>
      </c>
      <c r="J96" s="9">
        <f t="shared" si="55"/>
        <v>20.171052631578949</v>
      </c>
      <c r="K96" s="9">
        <f t="shared" si="55"/>
        <v>20.879310344827587</v>
      </c>
      <c r="L96" s="9">
        <f t="shared" si="55"/>
        <v>23.118421052631579</v>
      </c>
      <c r="M96" s="9">
        <f t="shared" si="55"/>
        <v>22.982758620689655</v>
      </c>
      <c r="N96" s="9">
        <f t="shared" si="55"/>
        <v>24</v>
      </c>
      <c r="O96" s="9">
        <f t="shared" si="55"/>
        <v>24.603448275862068</v>
      </c>
      <c r="P96" s="9">
        <f t="shared" si="55"/>
        <v>23.223684210526315</v>
      </c>
      <c r="Q96" s="9">
        <f t="shared" si="55"/>
        <v>22.741379310344829</v>
      </c>
      <c r="R96" s="9">
        <f t="shared" si="55"/>
        <v>24.418918918918919</v>
      </c>
      <c r="S96" s="9">
        <f t="shared" si="55"/>
        <v>23.517857142857142</v>
      </c>
      <c r="T96" s="9">
        <f t="shared" si="55"/>
        <v>26.428571428571427</v>
      </c>
      <c r="U96" s="9">
        <f t="shared" si="55"/>
        <v>24.125</v>
      </c>
      <c r="V96" s="9">
        <f t="shared" si="55"/>
        <v>24.708333333333332</v>
      </c>
      <c r="W96" s="9">
        <f t="shared" si="55"/>
        <v>22.053571428571427</v>
      </c>
      <c r="X96" s="9">
        <f t="shared" si="55"/>
        <v>25.194444444444443</v>
      </c>
      <c r="Y96" s="9">
        <f t="shared" si="55"/>
        <v>22.357142857142858</v>
      </c>
      <c r="Z96" s="9">
        <f t="shared" si="55"/>
        <v>24.297297297297298</v>
      </c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</row>
    <row r="97" spans="1:48" x14ac:dyDescent="0.2">
      <c r="A97" s="14" t="s">
        <v>2</v>
      </c>
      <c r="B97" s="6">
        <f t="shared" ref="B97:Z97" si="56">STDEV(B55:B94)</f>
        <v>14.242795338737633</v>
      </c>
      <c r="C97" s="6">
        <f t="shared" si="56"/>
        <v>14.704059290070592</v>
      </c>
      <c r="D97" s="6">
        <f t="shared" si="56"/>
        <v>15.114622511189655</v>
      </c>
      <c r="E97" s="6">
        <f t="shared" si="56"/>
        <v>15.389203559862887</v>
      </c>
      <c r="F97" s="6">
        <f t="shared" si="56"/>
        <v>16.021322918261436</v>
      </c>
      <c r="G97" s="6">
        <f t="shared" si="56"/>
        <v>16.266787463547818</v>
      </c>
      <c r="H97" s="6">
        <f t="shared" si="56"/>
        <v>14.733894937471542</v>
      </c>
      <c r="I97" s="6">
        <f t="shared" si="56"/>
        <v>16.70242674324005</v>
      </c>
      <c r="J97" s="6">
        <f t="shared" si="56"/>
        <v>16.666148047881723</v>
      </c>
      <c r="K97" s="6">
        <f t="shared" si="56"/>
        <v>17.792281217875367</v>
      </c>
      <c r="L97" s="6">
        <f t="shared" si="56"/>
        <v>17.793649873421788</v>
      </c>
      <c r="M97" s="6">
        <f t="shared" si="56"/>
        <v>18.433511194977733</v>
      </c>
      <c r="N97" s="6">
        <f t="shared" si="56"/>
        <v>19.344668935296262</v>
      </c>
      <c r="O97" s="6">
        <f t="shared" si="56"/>
        <v>20.315976871815877</v>
      </c>
      <c r="P97" s="6">
        <f t="shared" si="56"/>
        <v>20.412204010009074</v>
      </c>
      <c r="Q97" s="6">
        <f t="shared" si="56"/>
        <v>20.681522416353399</v>
      </c>
      <c r="R97" s="6">
        <f t="shared" si="56"/>
        <v>20.97601590491491</v>
      </c>
      <c r="S97" s="6">
        <f t="shared" si="56"/>
        <v>19.344576301256438</v>
      </c>
      <c r="T97" s="6">
        <f t="shared" si="56"/>
        <v>23.849140709992927</v>
      </c>
      <c r="U97" s="6">
        <f t="shared" si="56"/>
        <v>21.652826776368194</v>
      </c>
      <c r="V97" s="6">
        <f t="shared" si="56"/>
        <v>21.956572397088106</v>
      </c>
      <c r="W97" s="6">
        <f t="shared" si="56"/>
        <v>21.608614231243727</v>
      </c>
      <c r="X97" s="6">
        <f t="shared" si="56"/>
        <v>24.149320539917529</v>
      </c>
      <c r="Y97" s="6">
        <f t="shared" si="56"/>
        <v>22.558917569439405</v>
      </c>
      <c r="Z97" s="6">
        <f t="shared" si="56"/>
        <v>23.224585709574701</v>
      </c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</row>
    <row r="98" spans="1:48" x14ac:dyDescent="0.2">
      <c r="A98" s="14" t="s">
        <v>3</v>
      </c>
      <c r="B98" s="6">
        <f t="shared" ref="B98" si="57">B97/SQRT(B95)</f>
        <v>2.3104865007246191</v>
      </c>
      <c r="C98" s="6">
        <f t="shared" ref="C98:Z98" si="58">C97/SQRT(C95)</f>
        <v>2.7304752624450801</v>
      </c>
      <c r="D98" s="6">
        <f t="shared" si="58"/>
        <v>2.4519155436202009</v>
      </c>
      <c r="E98" s="6">
        <f t="shared" si="58"/>
        <v>2.8577033593242294</v>
      </c>
      <c r="F98" s="6">
        <f t="shared" si="58"/>
        <v>2.5990017721952259</v>
      </c>
      <c r="G98" s="6">
        <f t="shared" si="58"/>
        <v>3.0206665990977397</v>
      </c>
      <c r="H98" s="6">
        <f t="shared" si="58"/>
        <v>2.3901533755479814</v>
      </c>
      <c r="I98" s="6">
        <f t="shared" si="58"/>
        <v>3.1015627824633962</v>
      </c>
      <c r="J98" s="6">
        <f t="shared" si="58"/>
        <v>2.7036062211030574</v>
      </c>
      <c r="K98" s="6">
        <f t="shared" si="58"/>
        <v>3.3039436776945745</v>
      </c>
      <c r="L98" s="6">
        <f t="shared" si="58"/>
        <v>2.8865111695696957</v>
      </c>
      <c r="M98" s="6">
        <f t="shared" si="58"/>
        <v>3.4230170951418617</v>
      </c>
      <c r="N98" s="6">
        <f t="shared" si="58"/>
        <v>3.1381196859878751</v>
      </c>
      <c r="O98" s="6">
        <f t="shared" si="58"/>
        <v>3.7725821956090138</v>
      </c>
      <c r="P98" s="6">
        <f t="shared" si="58"/>
        <v>3.3112967429147222</v>
      </c>
      <c r="Q98" s="6">
        <f t="shared" si="58"/>
        <v>3.8404622991210235</v>
      </c>
      <c r="R98" s="6">
        <f t="shared" si="58"/>
        <v>3.4484357724690788</v>
      </c>
      <c r="S98" s="6">
        <f t="shared" si="58"/>
        <v>3.6557812936455876</v>
      </c>
      <c r="T98" s="6">
        <f t="shared" si="58"/>
        <v>4.0312405485339191</v>
      </c>
      <c r="U98" s="6">
        <f t="shared" si="58"/>
        <v>4.0919996308450441</v>
      </c>
      <c r="V98" s="6">
        <f t="shared" si="58"/>
        <v>3.6594287328480175</v>
      </c>
      <c r="W98" s="6">
        <f t="shared" si="58"/>
        <v>4.0836442451858614</v>
      </c>
      <c r="X98" s="6">
        <f t="shared" si="58"/>
        <v>4.0248867566529212</v>
      </c>
      <c r="Y98" s="6">
        <f t="shared" si="58"/>
        <v>4.2632346953958811</v>
      </c>
      <c r="Z98" s="6">
        <f t="shared" si="58"/>
        <v>3.8180983712405538</v>
      </c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</row>
    <row r="99" spans="1:48" x14ac:dyDescent="0.2">
      <c r="A99" s="10" t="s">
        <v>266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4274-26B2-418F-92B5-721A76A7B895}">
  <dimension ref="A1:H60"/>
  <sheetViews>
    <sheetView topLeftCell="A31" workbookViewId="0">
      <selection activeCell="U46" sqref="U46"/>
    </sheetView>
  </sheetViews>
  <sheetFormatPr baseColWidth="10" defaultColWidth="8.83203125" defaultRowHeight="16" x14ac:dyDescent="0.2"/>
  <cols>
    <col min="1" max="1" width="12.6640625" style="13" customWidth="1"/>
    <col min="2" max="2" width="8.83203125" style="17"/>
    <col min="3" max="4" width="8.83203125" style="10"/>
    <col min="5" max="5" width="13.5" style="13" customWidth="1"/>
    <col min="6" max="6" width="8.83203125" style="17"/>
  </cols>
  <sheetData>
    <row r="1" spans="1:8" x14ac:dyDescent="0.2">
      <c r="A1" s="13" t="s">
        <v>35</v>
      </c>
    </row>
    <row r="2" spans="1:8" x14ac:dyDescent="0.2">
      <c r="A2" s="27"/>
      <c r="E2" s="27"/>
    </row>
    <row r="3" spans="1:8" x14ac:dyDescent="0.2">
      <c r="C3" s="17" t="s">
        <v>284</v>
      </c>
      <c r="E3" s="27"/>
    </row>
    <row r="5" spans="1:8" x14ac:dyDescent="0.2">
      <c r="A5" s="13" t="s">
        <v>164</v>
      </c>
      <c r="B5" s="17" t="s">
        <v>10</v>
      </c>
      <c r="E5" s="13" t="s">
        <v>164</v>
      </c>
      <c r="F5" s="17" t="s">
        <v>167</v>
      </c>
      <c r="H5" s="75"/>
    </row>
    <row r="6" spans="1:8" x14ac:dyDescent="0.2">
      <c r="A6" s="13">
        <v>132150038</v>
      </c>
      <c r="B6" s="17">
        <v>-65</v>
      </c>
      <c r="E6" s="13" t="s">
        <v>25</v>
      </c>
      <c r="F6" s="17">
        <v>-73.400000000000006</v>
      </c>
      <c r="H6" s="41"/>
    </row>
    <row r="7" spans="1:8" x14ac:dyDescent="0.2">
      <c r="A7" s="13">
        <v>133130002</v>
      </c>
      <c r="B7" s="17">
        <v>-73</v>
      </c>
      <c r="E7" s="13">
        <v>132120002</v>
      </c>
      <c r="F7" s="17">
        <v>-67</v>
      </c>
      <c r="H7" s="41"/>
    </row>
    <row r="8" spans="1:8" x14ac:dyDescent="0.2">
      <c r="A8" s="13">
        <v>134010003</v>
      </c>
      <c r="B8" s="17">
        <v>-68.900000000000006</v>
      </c>
      <c r="E8" s="13">
        <v>132120018</v>
      </c>
      <c r="F8" s="17">
        <v>-75</v>
      </c>
      <c r="H8" s="41"/>
    </row>
    <row r="9" spans="1:8" x14ac:dyDescent="0.2">
      <c r="A9" s="13" t="s">
        <v>15</v>
      </c>
      <c r="B9" s="17">
        <v>-66.8</v>
      </c>
      <c r="E9" s="13">
        <v>133270004</v>
      </c>
      <c r="F9" s="17">
        <v>-76</v>
      </c>
      <c r="H9" s="41"/>
    </row>
    <row r="10" spans="1:8" x14ac:dyDescent="0.2">
      <c r="A10" s="13" t="s">
        <v>16</v>
      </c>
      <c r="B10" s="17">
        <v>-66</v>
      </c>
      <c r="E10" s="13">
        <v>133150054</v>
      </c>
      <c r="F10" s="17">
        <v>-81</v>
      </c>
      <c r="H10" s="41"/>
    </row>
    <row r="11" spans="1:8" x14ac:dyDescent="0.2">
      <c r="A11" s="13" t="s">
        <v>17</v>
      </c>
      <c r="B11" s="17">
        <v>-65.400000000000006</v>
      </c>
      <c r="E11" s="13">
        <v>146210041</v>
      </c>
      <c r="F11" s="17">
        <v>-82</v>
      </c>
      <c r="H11" s="41"/>
    </row>
    <row r="12" spans="1:8" x14ac:dyDescent="0.2">
      <c r="A12" s="13" t="s">
        <v>18</v>
      </c>
      <c r="B12" s="17">
        <v>-73</v>
      </c>
      <c r="E12" s="13">
        <v>146210003</v>
      </c>
      <c r="F12" s="17">
        <v>-75</v>
      </c>
      <c r="H12" s="41"/>
    </row>
    <row r="13" spans="1:8" x14ac:dyDescent="0.2">
      <c r="A13" s="13" t="s">
        <v>85</v>
      </c>
      <c r="B13" s="17">
        <v>-65</v>
      </c>
      <c r="E13" s="13">
        <v>146230003</v>
      </c>
      <c r="F13" s="17">
        <v>-80</v>
      </c>
      <c r="H13" s="41"/>
    </row>
    <row r="14" spans="1:8" x14ac:dyDescent="0.2">
      <c r="A14" s="13" t="s">
        <v>86</v>
      </c>
      <c r="B14" s="17">
        <v>-82.4</v>
      </c>
      <c r="E14" s="13">
        <v>146230024</v>
      </c>
      <c r="F14" s="17">
        <v>-71</v>
      </c>
      <c r="H14" s="41"/>
    </row>
    <row r="15" spans="1:8" x14ac:dyDescent="0.2">
      <c r="A15" s="13" t="s">
        <v>19</v>
      </c>
      <c r="B15" s="17">
        <v>-64</v>
      </c>
      <c r="E15" s="13">
        <v>146280003</v>
      </c>
      <c r="F15" s="17">
        <v>-78</v>
      </c>
      <c r="H15" s="41"/>
    </row>
    <row r="16" spans="1:8" x14ac:dyDescent="0.2">
      <c r="A16" s="13" t="s">
        <v>20</v>
      </c>
      <c r="B16" s="17">
        <v>-65</v>
      </c>
      <c r="E16" s="13" t="s">
        <v>81</v>
      </c>
      <c r="F16" s="17">
        <v>-68</v>
      </c>
      <c r="H16" s="41"/>
    </row>
    <row r="17" spans="1:8" x14ac:dyDescent="0.2">
      <c r="A17" s="13">
        <v>171130005</v>
      </c>
      <c r="B17" s="17">
        <v>-74.7</v>
      </c>
      <c r="E17" s="13" t="s">
        <v>26</v>
      </c>
      <c r="F17" s="17">
        <v>-67.099999999999994</v>
      </c>
      <c r="H17" s="41"/>
    </row>
    <row r="18" spans="1:8" x14ac:dyDescent="0.2">
      <c r="A18" s="13">
        <v>171130024</v>
      </c>
      <c r="B18" s="17">
        <v>-66.2</v>
      </c>
      <c r="E18" s="13" t="s">
        <v>82</v>
      </c>
      <c r="F18" s="17">
        <v>-73</v>
      </c>
      <c r="H18" s="41"/>
    </row>
    <row r="19" spans="1:8" x14ac:dyDescent="0.2">
      <c r="A19" s="13">
        <v>171260005</v>
      </c>
      <c r="B19" s="17">
        <v>-66</v>
      </c>
      <c r="E19" s="13" t="s">
        <v>27</v>
      </c>
      <c r="F19" s="17">
        <v>-68</v>
      </c>
      <c r="H19" s="41"/>
    </row>
    <row r="20" spans="1:8" x14ac:dyDescent="0.2">
      <c r="A20" s="13">
        <v>172230007</v>
      </c>
      <c r="B20" s="17">
        <v>-71.400000000000006</v>
      </c>
      <c r="E20" s="13" t="s">
        <v>28</v>
      </c>
      <c r="F20" s="17">
        <v>-68.8</v>
      </c>
      <c r="H20" s="41"/>
    </row>
    <row r="21" spans="1:8" x14ac:dyDescent="0.2">
      <c r="A21" s="13">
        <v>172240035</v>
      </c>
      <c r="B21" s="17">
        <v>-63</v>
      </c>
      <c r="E21" s="13">
        <v>171120006</v>
      </c>
      <c r="F21" s="17">
        <v>-82</v>
      </c>
      <c r="H21" s="41"/>
    </row>
    <row r="22" spans="1:8" x14ac:dyDescent="0.2">
      <c r="A22" s="13">
        <v>188020038</v>
      </c>
      <c r="B22" s="17">
        <v>-70</v>
      </c>
      <c r="E22" s="13">
        <v>171230014</v>
      </c>
      <c r="F22" s="17">
        <v>-73</v>
      </c>
      <c r="H22" s="41"/>
    </row>
    <row r="23" spans="1:8" x14ac:dyDescent="0.2">
      <c r="A23" s="13">
        <v>188020045</v>
      </c>
      <c r="B23" s="17">
        <v>-84</v>
      </c>
      <c r="E23" s="13" t="s">
        <v>29</v>
      </c>
      <c r="F23" s="17">
        <v>-63</v>
      </c>
      <c r="H23" s="41"/>
    </row>
    <row r="24" spans="1:8" x14ac:dyDescent="0.2">
      <c r="A24" s="13">
        <v>188020060</v>
      </c>
      <c r="B24" s="17">
        <v>-78</v>
      </c>
      <c r="E24" s="13" t="s">
        <v>30</v>
      </c>
      <c r="F24" s="17">
        <v>-67</v>
      </c>
      <c r="H24" s="41"/>
    </row>
    <row r="25" spans="1:8" x14ac:dyDescent="0.2">
      <c r="A25" s="13" t="s">
        <v>21</v>
      </c>
      <c r="B25" s="17">
        <v>-73</v>
      </c>
      <c r="E25" s="13" t="s">
        <v>31</v>
      </c>
      <c r="F25" s="17">
        <v>-64.5</v>
      </c>
      <c r="H25" s="41"/>
    </row>
    <row r="26" spans="1:8" x14ac:dyDescent="0.2">
      <c r="A26" s="13" t="s">
        <v>22</v>
      </c>
      <c r="B26" s="17">
        <v>-66</v>
      </c>
      <c r="E26" s="13">
        <v>191120002</v>
      </c>
      <c r="F26" s="17">
        <v>-64.8</v>
      </c>
      <c r="H26" s="41"/>
    </row>
    <row r="27" spans="1:8" x14ac:dyDescent="0.2">
      <c r="A27" s="13">
        <v>191290025</v>
      </c>
      <c r="B27" s="17">
        <v>-66</v>
      </c>
      <c r="E27" s="13">
        <v>191120017</v>
      </c>
      <c r="F27" s="17">
        <v>-65</v>
      </c>
      <c r="H27" s="41"/>
    </row>
    <row r="28" spans="1:8" x14ac:dyDescent="0.2">
      <c r="A28" s="13">
        <v>192210033</v>
      </c>
      <c r="B28" s="17">
        <v>-81</v>
      </c>
      <c r="E28" s="13">
        <v>191120030</v>
      </c>
      <c r="F28" s="17">
        <v>-65</v>
      </c>
      <c r="H28" s="41"/>
    </row>
    <row r="29" spans="1:8" x14ac:dyDescent="0.2">
      <c r="A29" s="13">
        <v>192250020</v>
      </c>
      <c r="B29" s="17">
        <v>-67</v>
      </c>
      <c r="E29" s="13">
        <v>192160002</v>
      </c>
      <c r="F29" s="17">
        <v>-81</v>
      </c>
      <c r="H29" s="41"/>
    </row>
    <row r="30" spans="1:8" x14ac:dyDescent="0.2">
      <c r="A30" s="13">
        <v>192250038</v>
      </c>
      <c r="B30" s="17">
        <v>-65.3</v>
      </c>
      <c r="E30" s="13">
        <v>192160049</v>
      </c>
      <c r="F30" s="17">
        <v>-77</v>
      </c>
      <c r="H30" s="41"/>
    </row>
    <row r="31" spans="1:8" x14ac:dyDescent="0.2">
      <c r="A31" s="13">
        <v>193020012</v>
      </c>
      <c r="B31" s="17">
        <v>-72</v>
      </c>
      <c r="E31" s="13">
        <v>192200009</v>
      </c>
      <c r="F31" s="17">
        <v>-73</v>
      </c>
      <c r="H31" s="41"/>
    </row>
    <row r="32" spans="1:8" x14ac:dyDescent="0.2">
      <c r="A32" s="13">
        <v>193020020</v>
      </c>
      <c r="B32" s="17">
        <v>-71</v>
      </c>
      <c r="E32" s="13">
        <v>192200017</v>
      </c>
      <c r="F32" s="17">
        <v>-66</v>
      </c>
      <c r="H32" s="41"/>
    </row>
    <row r="33" spans="1:8" x14ac:dyDescent="0.2">
      <c r="A33" s="13">
        <v>198130073</v>
      </c>
      <c r="B33" s="17">
        <v>-66</v>
      </c>
      <c r="E33" s="13">
        <v>192200044</v>
      </c>
      <c r="F33" s="17">
        <v>-62</v>
      </c>
      <c r="H33" s="41"/>
    </row>
    <row r="34" spans="1:8" x14ac:dyDescent="0.2">
      <c r="A34" s="13">
        <v>201160009</v>
      </c>
      <c r="B34" s="17">
        <v>-67</v>
      </c>
      <c r="E34" s="13">
        <v>193030013</v>
      </c>
      <c r="F34" s="17">
        <v>-75</v>
      </c>
      <c r="H34" s="41"/>
    </row>
    <row r="35" spans="1:8" x14ac:dyDescent="0.2">
      <c r="A35" s="13">
        <v>201160021</v>
      </c>
      <c r="B35" s="17">
        <v>-65.900000000000006</v>
      </c>
      <c r="E35" s="13">
        <v>198160034</v>
      </c>
      <c r="F35" s="17">
        <v>-75.900000000000006</v>
      </c>
      <c r="H35" s="41"/>
    </row>
    <row r="36" spans="1:8" x14ac:dyDescent="0.2">
      <c r="A36" s="13">
        <v>201160027</v>
      </c>
      <c r="B36" s="17">
        <v>-67</v>
      </c>
      <c r="E36" s="13" t="s">
        <v>32</v>
      </c>
      <c r="F36" s="17">
        <v>-63</v>
      </c>
      <c r="H36" s="41"/>
    </row>
    <row r="37" spans="1:8" x14ac:dyDescent="0.2">
      <c r="A37" s="13">
        <v>201160044</v>
      </c>
      <c r="B37" s="17">
        <v>-64.8</v>
      </c>
      <c r="E37" s="13" t="s">
        <v>83</v>
      </c>
      <c r="F37" s="17">
        <v>-69.900000000000006</v>
      </c>
      <c r="H37" s="41"/>
    </row>
    <row r="38" spans="1:8" x14ac:dyDescent="0.2">
      <c r="A38" s="13">
        <v>201290019</v>
      </c>
      <c r="B38" s="17">
        <v>-76</v>
      </c>
      <c r="E38" s="13" t="s">
        <v>84</v>
      </c>
      <c r="F38" s="17">
        <v>-67.599999999999994</v>
      </c>
      <c r="H38" s="41"/>
    </row>
    <row r="39" spans="1:8" x14ac:dyDescent="0.2">
      <c r="A39" s="13">
        <v>209230013</v>
      </c>
      <c r="B39" s="17">
        <v>-65</v>
      </c>
      <c r="E39" s="13">
        <v>201130004</v>
      </c>
      <c r="F39" s="17">
        <v>-78</v>
      </c>
      <c r="H39" s="41"/>
    </row>
    <row r="40" spans="1:8" x14ac:dyDescent="0.2">
      <c r="A40" s="13">
        <v>209230030</v>
      </c>
      <c r="B40" s="17">
        <v>-63</v>
      </c>
      <c r="E40" s="13">
        <v>201130031</v>
      </c>
      <c r="F40" s="17">
        <v>-75</v>
      </c>
      <c r="H40" s="41"/>
    </row>
    <row r="41" spans="1:8" x14ac:dyDescent="0.2">
      <c r="A41" s="13" t="s">
        <v>23</v>
      </c>
      <c r="B41" s="17">
        <v>-66.900000000000006</v>
      </c>
      <c r="E41" s="13">
        <v>201270007</v>
      </c>
      <c r="F41" s="17">
        <v>-70</v>
      </c>
      <c r="H41" s="41"/>
    </row>
    <row r="42" spans="1:8" x14ac:dyDescent="0.2">
      <c r="A42" s="13" t="s">
        <v>87</v>
      </c>
      <c r="B42" s="17">
        <v>-70.8</v>
      </c>
      <c r="E42" s="13">
        <v>201270034</v>
      </c>
      <c r="F42" s="17">
        <v>-68</v>
      </c>
      <c r="H42" s="41"/>
    </row>
    <row r="43" spans="1:8" x14ac:dyDescent="0.2">
      <c r="A43" s="13" t="s">
        <v>24</v>
      </c>
      <c r="B43" s="17">
        <v>-65.5</v>
      </c>
      <c r="E43" s="13">
        <v>209240024</v>
      </c>
      <c r="F43" s="17">
        <v>-65</v>
      </c>
      <c r="H43" s="41"/>
    </row>
    <row r="44" spans="1:8" x14ac:dyDescent="0.2">
      <c r="A44" s="13">
        <v>221060025</v>
      </c>
      <c r="B44" s="17">
        <v>-61.5</v>
      </c>
      <c r="E44" s="13">
        <v>214090007</v>
      </c>
      <c r="F44" s="17">
        <v>-63</v>
      </c>
      <c r="H44" s="41"/>
    </row>
    <row r="45" spans="1:8" x14ac:dyDescent="0.2">
      <c r="A45" s="13">
        <v>251270020</v>
      </c>
      <c r="B45" s="17">
        <v>-66</v>
      </c>
      <c r="E45" s="13" t="s">
        <v>33</v>
      </c>
      <c r="F45" s="17">
        <v>-64</v>
      </c>
      <c r="H45" s="41"/>
    </row>
    <row r="46" spans="1:8" x14ac:dyDescent="0.2">
      <c r="A46" s="13">
        <v>252120005</v>
      </c>
      <c r="B46" s="17">
        <v>-83</v>
      </c>
      <c r="E46" s="13" t="s">
        <v>34</v>
      </c>
      <c r="F46" s="17">
        <v>-68</v>
      </c>
      <c r="H46" s="41"/>
    </row>
    <row r="47" spans="1:8" x14ac:dyDescent="0.2">
      <c r="A47" s="13">
        <v>252120021</v>
      </c>
      <c r="B47" s="17">
        <v>-80</v>
      </c>
      <c r="E47" s="13" t="s">
        <v>163</v>
      </c>
      <c r="F47" s="17">
        <v>-64</v>
      </c>
      <c r="H47" s="41"/>
    </row>
    <row r="48" spans="1:8" x14ac:dyDescent="0.2">
      <c r="A48" s="13">
        <v>252190013</v>
      </c>
      <c r="B48" s="17">
        <v>-66</v>
      </c>
      <c r="E48" s="13">
        <v>251090017</v>
      </c>
      <c r="F48" s="17">
        <v>-65</v>
      </c>
      <c r="H48" s="41"/>
    </row>
    <row r="49" spans="1:8" x14ac:dyDescent="0.2">
      <c r="A49" s="13">
        <v>253200010</v>
      </c>
      <c r="B49" s="17">
        <v>-70</v>
      </c>
      <c r="E49" s="13">
        <v>251160011</v>
      </c>
      <c r="F49" s="17">
        <v>-66</v>
      </c>
      <c r="H49" s="41"/>
    </row>
    <row r="50" spans="1:8" x14ac:dyDescent="0.2">
      <c r="A50" s="13">
        <v>253200037</v>
      </c>
      <c r="B50" s="17">
        <v>-63</v>
      </c>
      <c r="E50" s="13">
        <v>251160026</v>
      </c>
      <c r="F50" s="17">
        <v>-72</v>
      </c>
      <c r="H50" s="41"/>
    </row>
    <row r="51" spans="1:8" x14ac:dyDescent="0.2">
      <c r="E51" s="13">
        <v>251160044</v>
      </c>
      <c r="F51" s="17">
        <v>-76</v>
      </c>
      <c r="H51" s="41"/>
    </row>
    <row r="52" spans="1:8" x14ac:dyDescent="0.2">
      <c r="E52" s="13">
        <v>252250003</v>
      </c>
      <c r="F52" s="17">
        <v>-73</v>
      </c>
      <c r="H52" s="41"/>
    </row>
    <row r="53" spans="1:8" x14ac:dyDescent="0.2">
      <c r="E53" s="13">
        <v>253190028</v>
      </c>
      <c r="F53" s="17">
        <v>-66</v>
      </c>
      <c r="H53" s="41"/>
    </row>
    <row r="54" spans="1:8" x14ac:dyDescent="0.2">
      <c r="E54" s="13">
        <v>254020031</v>
      </c>
      <c r="F54" s="17">
        <v>-67</v>
      </c>
      <c r="H54" s="41"/>
    </row>
    <row r="57" spans="1:8" x14ac:dyDescent="0.2">
      <c r="A57" s="13" t="s">
        <v>0</v>
      </c>
      <c r="B57" s="17">
        <v>52</v>
      </c>
      <c r="E57" s="13" t="s">
        <v>0</v>
      </c>
      <c r="F57" s="17">
        <v>61</v>
      </c>
    </row>
    <row r="58" spans="1:8" x14ac:dyDescent="0.2">
      <c r="A58" s="13" t="s">
        <v>1</v>
      </c>
      <c r="B58" s="17">
        <v>-69.163461538461561</v>
      </c>
      <c r="E58" s="13" t="s">
        <v>1</v>
      </c>
      <c r="F58" s="17">
        <v>-70.896721311475403</v>
      </c>
    </row>
    <row r="59" spans="1:8" x14ac:dyDescent="0.2">
      <c r="A59" s="13" t="s">
        <v>2</v>
      </c>
      <c r="B59" s="17">
        <v>5.9493953835548918</v>
      </c>
      <c r="E59" s="13" t="s">
        <v>2</v>
      </c>
      <c r="F59" s="17">
        <v>6.7787896464662678</v>
      </c>
    </row>
    <row r="60" spans="1:8" x14ac:dyDescent="0.2">
      <c r="A60" s="13" t="s">
        <v>3</v>
      </c>
      <c r="B60" s="17">
        <v>0.82503269666984269</v>
      </c>
      <c r="E60" s="13" t="s">
        <v>3</v>
      </c>
      <c r="F60" s="17">
        <v>0.8679350760549599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5258-05FB-42DE-91E1-87EFD03C97AC}">
  <dimension ref="A1:E53"/>
  <sheetViews>
    <sheetView topLeftCell="A31" workbookViewId="0">
      <selection activeCell="W31" sqref="W31"/>
    </sheetView>
  </sheetViews>
  <sheetFormatPr baseColWidth="10" defaultColWidth="8.83203125" defaultRowHeight="15" x14ac:dyDescent="0.2"/>
  <cols>
    <col min="1" max="1" width="12.6640625" style="5" customWidth="1"/>
    <col min="2" max="2" width="15.6640625" style="26" customWidth="1"/>
    <col min="3" max="3" width="8.83203125" style="26"/>
    <col min="4" max="4" width="13.5" style="5" customWidth="1"/>
    <col min="5" max="5" width="16.33203125" style="2" customWidth="1"/>
  </cols>
  <sheetData>
    <row r="1" spans="1:5" x14ac:dyDescent="0.2">
      <c r="A1" s="5" t="s">
        <v>286</v>
      </c>
    </row>
    <row r="2" spans="1:5" x14ac:dyDescent="0.2">
      <c r="A2" s="76"/>
      <c r="D2" s="76"/>
    </row>
    <row r="3" spans="1:5" x14ac:dyDescent="0.2">
      <c r="B3" s="5" t="s">
        <v>287</v>
      </c>
      <c r="D3" s="26"/>
    </row>
    <row r="4" spans="1:5" x14ac:dyDescent="0.2">
      <c r="A4" s="2"/>
      <c r="D4" s="2"/>
    </row>
    <row r="5" spans="1:5" x14ac:dyDescent="0.2">
      <c r="A5" s="2" t="s">
        <v>10</v>
      </c>
      <c r="B5" s="2"/>
      <c r="C5" s="2"/>
      <c r="D5" s="2" t="s">
        <v>167</v>
      </c>
    </row>
    <row r="6" spans="1:5" x14ac:dyDescent="0.2">
      <c r="A6" s="5" t="s">
        <v>164</v>
      </c>
      <c r="B6" s="2" t="s">
        <v>285</v>
      </c>
      <c r="D6" s="5" t="s">
        <v>164</v>
      </c>
      <c r="E6" s="2" t="s">
        <v>285</v>
      </c>
    </row>
    <row r="7" spans="1:5" x14ac:dyDescent="0.2">
      <c r="A7" s="5">
        <v>132150038</v>
      </c>
      <c r="B7" s="77">
        <v>0</v>
      </c>
      <c r="D7" s="5" t="s">
        <v>25</v>
      </c>
      <c r="E7" s="77">
        <v>0</v>
      </c>
    </row>
    <row r="8" spans="1:5" x14ac:dyDescent="0.2">
      <c r="A8" s="5">
        <v>133130002</v>
      </c>
      <c r="B8" s="77">
        <v>40</v>
      </c>
      <c r="D8" s="5">
        <v>132120002</v>
      </c>
      <c r="E8" s="77">
        <v>0</v>
      </c>
    </row>
    <row r="9" spans="1:5" x14ac:dyDescent="0.2">
      <c r="A9" s="5">
        <v>134010003</v>
      </c>
      <c r="B9" s="77">
        <v>0</v>
      </c>
      <c r="D9" s="5">
        <v>132120018</v>
      </c>
      <c r="E9" s="77">
        <v>20</v>
      </c>
    </row>
    <row r="10" spans="1:5" x14ac:dyDescent="0.2">
      <c r="A10" s="5" t="s">
        <v>15</v>
      </c>
      <c r="B10" s="77">
        <v>0</v>
      </c>
      <c r="D10" s="5">
        <v>133150054</v>
      </c>
      <c r="E10" s="77">
        <v>80</v>
      </c>
    </row>
    <row r="11" spans="1:5" x14ac:dyDescent="0.2">
      <c r="A11" s="5" t="s">
        <v>16</v>
      </c>
      <c r="B11" s="77">
        <v>0</v>
      </c>
      <c r="D11" s="5">
        <v>133270004</v>
      </c>
      <c r="E11" s="77">
        <v>20</v>
      </c>
    </row>
    <row r="12" spans="1:5" x14ac:dyDescent="0.2">
      <c r="A12" s="5" t="s">
        <v>17</v>
      </c>
      <c r="B12" s="77">
        <v>0</v>
      </c>
      <c r="D12" s="5">
        <v>146210041</v>
      </c>
      <c r="E12" s="77">
        <v>90</v>
      </c>
    </row>
    <row r="13" spans="1:5" x14ac:dyDescent="0.2">
      <c r="A13" s="5" t="s">
        <v>18</v>
      </c>
      <c r="B13" s="77">
        <v>0</v>
      </c>
      <c r="D13" s="5">
        <v>146230003</v>
      </c>
      <c r="E13" s="77">
        <v>20</v>
      </c>
    </row>
    <row r="14" spans="1:5" x14ac:dyDescent="0.2">
      <c r="A14" s="5" t="s">
        <v>19</v>
      </c>
      <c r="B14" s="77">
        <v>0</v>
      </c>
      <c r="D14" s="5">
        <v>146230024</v>
      </c>
      <c r="E14" s="77">
        <v>20</v>
      </c>
    </row>
    <row r="15" spans="1:5" x14ac:dyDescent="0.2">
      <c r="A15" s="5" t="s">
        <v>20</v>
      </c>
      <c r="B15" s="77">
        <v>0</v>
      </c>
      <c r="D15" s="5">
        <v>146280003</v>
      </c>
      <c r="E15" s="77">
        <v>0</v>
      </c>
    </row>
    <row r="16" spans="1:5" x14ac:dyDescent="0.2">
      <c r="A16" s="5">
        <v>172230007</v>
      </c>
      <c r="B16" s="77">
        <v>40</v>
      </c>
      <c r="D16" s="5" t="s">
        <v>26</v>
      </c>
      <c r="E16" s="77">
        <v>0</v>
      </c>
    </row>
    <row r="17" spans="1:5" x14ac:dyDescent="0.2">
      <c r="A17" s="5">
        <v>172240035</v>
      </c>
      <c r="B17" s="77">
        <v>0</v>
      </c>
      <c r="D17" s="5" t="s">
        <v>27</v>
      </c>
      <c r="E17" s="77">
        <v>0</v>
      </c>
    </row>
    <row r="18" spans="1:5" x14ac:dyDescent="0.2">
      <c r="A18" s="5" t="s">
        <v>21</v>
      </c>
      <c r="B18" s="77">
        <v>0</v>
      </c>
      <c r="D18" s="5" t="s">
        <v>28</v>
      </c>
      <c r="E18" s="77">
        <v>0</v>
      </c>
    </row>
    <row r="19" spans="1:5" x14ac:dyDescent="0.2">
      <c r="A19" s="5" t="s">
        <v>22</v>
      </c>
      <c r="B19" s="77">
        <v>0</v>
      </c>
      <c r="D19" s="5">
        <v>171120006</v>
      </c>
      <c r="E19" s="77">
        <v>20</v>
      </c>
    </row>
    <row r="20" spans="1:5" x14ac:dyDescent="0.2">
      <c r="A20" s="5">
        <v>191290025</v>
      </c>
      <c r="B20" s="77">
        <v>0</v>
      </c>
      <c r="D20" s="5" t="s">
        <v>271</v>
      </c>
      <c r="E20" s="77">
        <v>0</v>
      </c>
    </row>
    <row r="21" spans="1:5" x14ac:dyDescent="0.2">
      <c r="A21" s="5">
        <v>192210033</v>
      </c>
      <c r="B21" s="77">
        <v>10</v>
      </c>
      <c r="D21" s="5" t="s">
        <v>29</v>
      </c>
      <c r="E21" s="77">
        <v>0</v>
      </c>
    </row>
    <row r="22" spans="1:5" x14ac:dyDescent="0.2">
      <c r="A22" s="5">
        <v>192250020</v>
      </c>
      <c r="B22" s="77">
        <v>0</v>
      </c>
      <c r="D22" s="5" t="s">
        <v>30</v>
      </c>
      <c r="E22" s="77">
        <v>30</v>
      </c>
    </row>
    <row r="23" spans="1:5" x14ac:dyDescent="0.2">
      <c r="A23" s="5">
        <v>192250038</v>
      </c>
      <c r="B23" s="77">
        <v>0</v>
      </c>
      <c r="D23" s="5" t="s">
        <v>31</v>
      </c>
      <c r="E23" s="77">
        <v>0</v>
      </c>
    </row>
    <row r="24" spans="1:5" x14ac:dyDescent="0.2">
      <c r="A24" s="5">
        <v>193020012</v>
      </c>
      <c r="B24" s="77">
        <v>0</v>
      </c>
      <c r="D24" s="5">
        <v>191120017</v>
      </c>
      <c r="E24" s="77">
        <v>0</v>
      </c>
    </row>
    <row r="25" spans="1:5" x14ac:dyDescent="0.2">
      <c r="A25" s="5">
        <v>193020020</v>
      </c>
      <c r="B25" s="77">
        <v>0</v>
      </c>
      <c r="D25" s="5">
        <v>192160002</v>
      </c>
      <c r="E25" s="77">
        <v>20</v>
      </c>
    </row>
    <row r="26" spans="1:5" x14ac:dyDescent="0.2">
      <c r="A26" s="5">
        <v>198130073</v>
      </c>
      <c r="B26" s="77">
        <v>0</v>
      </c>
      <c r="D26" s="5">
        <v>192160048</v>
      </c>
      <c r="E26" s="77">
        <v>10</v>
      </c>
    </row>
    <row r="27" spans="1:5" x14ac:dyDescent="0.2">
      <c r="A27" s="5">
        <v>201160009</v>
      </c>
      <c r="B27" s="77">
        <v>0</v>
      </c>
      <c r="D27" s="5">
        <v>192200009</v>
      </c>
      <c r="E27" s="77">
        <v>20</v>
      </c>
    </row>
    <row r="28" spans="1:5" x14ac:dyDescent="0.2">
      <c r="A28" s="5">
        <v>201160021</v>
      </c>
      <c r="B28" s="77">
        <v>0</v>
      </c>
      <c r="D28" s="5">
        <v>192200044</v>
      </c>
      <c r="E28" s="77">
        <v>0</v>
      </c>
    </row>
    <row r="29" spans="1:5" x14ac:dyDescent="0.2">
      <c r="A29" s="5">
        <v>201160027</v>
      </c>
      <c r="B29" s="77">
        <v>0</v>
      </c>
      <c r="D29" s="5">
        <v>193030013</v>
      </c>
      <c r="E29" s="77">
        <v>20</v>
      </c>
    </row>
    <row r="30" spans="1:5" x14ac:dyDescent="0.2">
      <c r="A30" s="5">
        <v>201160044</v>
      </c>
      <c r="B30" s="77">
        <v>0</v>
      </c>
      <c r="D30" s="5">
        <v>198160034</v>
      </c>
      <c r="E30" s="77">
        <v>0</v>
      </c>
    </row>
    <row r="31" spans="1:5" x14ac:dyDescent="0.2">
      <c r="A31" s="5">
        <v>201290019</v>
      </c>
      <c r="B31" s="77">
        <v>0</v>
      </c>
      <c r="D31" s="5" t="s">
        <v>32</v>
      </c>
      <c r="E31" s="77">
        <v>0</v>
      </c>
    </row>
    <row r="32" spans="1:5" x14ac:dyDescent="0.2">
      <c r="A32" s="5">
        <v>209230013</v>
      </c>
      <c r="B32" s="77">
        <v>0</v>
      </c>
      <c r="D32" s="5">
        <v>201130004</v>
      </c>
      <c r="E32" s="77">
        <v>60</v>
      </c>
    </row>
    <row r="33" spans="1:5" x14ac:dyDescent="0.2">
      <c r="A33" s="5">
        <v>209230030</v>
      </c>
      <c r="B33" s="77">
        <v>0</v>
      </c>
      <c r="D33" s="5">
        <v>201130031</v>
      </c>
      <c r="E33" s="77">
        <v>0</v>
      </c>
    </row>
    <row r="34" spans="1:5" x14ac:dyDescent="0.2">
      <c r="A34" s="5" t="s">
        <v>23</v>
      </c>
      <c r="B34" s="77">
        <v>0</v>
      </c>
      <c r="D34" s="5">
        <v>201270007</v>
      </c>
      <c r="E34" s="77">
        <v>0</v>
      </c>
    </row>
    <row r="35" spans="1:5" x14ac:dyDescent="0.2">
      <c r="A35" s="5" t="s">
        <v>24</v>
      </c>
      <c r="B35" s="77">
        <v>0</v>
      </c>
      <c r="D35" s="5">
        <v>201270034</v>
      </c>
      <c r="E35" s="77">
        <v>0</v>
      </c>
    </row>
    <row r="36" spans="1:5" x14ac:dyDescent="0.2">
      <c r="A36" s="5">
        <v>221060025</v>
      </c>
      <c r="B36" s="77">
        <v>0</v>
      </c>
      <c r="D36" s="5">
        <v>209240024</v>
      </c>
      <c r="E36" s="77">
        <v>0</v>
      </c>
    </row>
    <row r="37" spans="1:5" x14ac:dyDescent="0.2">
      <c r="A37" s="5">
        <v>251200006</v>
      </c>
      <c r="B37" s="2">
        <v>20</v>
      </c>
      <c r="D37" s="5">
        <v>217120034</v>
      </c>
      <c r="E37" s="2">
        <v>0</v>
      </c>
    </row>
    <row r="38" spans="1:5" x14ac:dyDescent="0.2">
      <c r="A38" s="5">
        <v>251270020</v>
      </c>
      <c r="B38" s="2">
        <v>0</v>
      </c>
      <c r="D38" s="5" t="s">
        <v>33</v>
      </c>
      <c r="E38" s="2">
        <v>0</v>
      </c>
    </row>
    <row r="39" spans="1:5" x14ac:dyDescent="0.2">
      <c r="A39" s="5">
        <v>252120005</v>
      </c>
      <c r="B39" s="2">
        <v>0</v>
      </c>
      <c r="D39" s="5" t="s">
        <v>34</v>
      </c>
      <c r="E39" s="2">
        <v>0</v>
      </c>
    </row>
    <row r="40" spans="1:5" x14ac:dyDescent="0.2">
      <c r="A40" s="5">
        <v>252120021</v>
      </c>
      <c r="B40" s="77">
        <v>20</v>
      </c>
      <c r="D40" s="5" t="s">
        <v>163</v>
      </c>
      <c r="E40" s="2">
        <v>0</v>
      </c>
    </row>
    <row r="41" spans="1:5" x14ac:dyDescent="0.2">
      <c r="A41" s="5">
        <v>252190013</v>
      </c>
      <c r="B41" s="2">
        <v>0</v>
      </c>
      <c r="D41" s="5">
        <v>251090017</v>
      </c>
      <c r="E41" s="2">
        <v>0</v>
      </c>
    </row>
    <row r="42" spans="1:5" x14ac:dyDescent="0.2">
      <c r="A42" s="5">
        <v>253200010</v>
      </c>
      <c r="B42" s="2">
        <v>0</v>
      </c>
      <c r="D42" s="5">
        <v>251160011</v>
      </c>
      <c r="E42" s="2">
        <v>0</v>
      </c>
    </row>
    <row r="43" spans="1:5" x14ac:dyDescent="0.2">
      <c r="A43" s="5">
        <v>253200037</v>
      </c>
      <c r="B43" s="2">
        <v>0</v>
      </c>
      <c r="D43" s="5">
        <v>251160026</v>
      </c>
      <c r="E43" s="2">
        <v>0</v>
      </c>
    </row>
    <row r="44" spans="1:5" x14ac:dyDescent="0.2">
      <c r="B44" s="2"/>
      <c r="D44" s="5">
        <v>251160044</v>
      </c>
      <c r="E44" s="2">
        <v>0</v>
      </c>
    </row>
    <row r="45" spans="1:5" x14ac:dyDescent="0.2">
      <c r="B45" s="2"/>
      <c r="D45" s="5">
        <v>252250003</v>
      </c>
      <c r="E45" s="2">
        <v>0</v>
      </c>
    </row>
    <row r="46" spans="1:5" x14ac:dyDescent="0.2">
      <c r="B46" s="2"/>
      <c r="D46" s="5">
        <v>253190028</v>
      </c>
      <c r="E46" s="2">
        <v>0</v>
      </c>
    </row>
    <row r="47" spans="1:5" x14ac:dyDescent="0.2">
      <c r="B47" s="2"/>
      <c r="D47" s="5">
        <v>254020031</v>
      </c>
      <c r="E47" s="2">
        <v>0</v>
      </c>
    </row>
    <row r="48" spans="1:5" x14ac:dyDescent="0.2">
      <c r="B48" s="2"/>
    </row>
    <row r="50" spans="1:5" x14ac:dyDescent="0.2">
      <c r="A50" s="5" t="s">
        <v>0</v>
      </c>
      <c r="B50" s="78">
        <f>COUNT(B7:B49)</f>
        <v>37</v>
      </c>
      <c r="D50" s="5" t="s">
        <v>0</v>
      </c>
      <c r="E50" s="78">
        <f>COUNT(E7:E49)</f>
        <v>41</v>
      </c>
    </row>
    <row r="51" spans="1:5" x14ac:dyDescent="0.2">
      <c r="A51" s="5" t="s">
        <v>1</v>
      </c>
      <c r="B51" s="78">
        <f>AVERAGE(B7:B49)</f>
        <v>3.5135135135135136</v>
      </c>
      <c r="D51" s="5" t="s">
        <v>1</v>
      </c>
      <c r="E51" s="68">
        <f>AVERAGE(E7:E49)</f>
        <v>10.487804878048781</v>
      </c>
    </row>
    <row r="52" spans="1:5" x14ac:dyDescent="0.2">
      <c r="A52" s="5" t="s">
        <v>2</v>
      </c>
      <c r="B52" s="78">
        <f>STDEV(B7:B49)</f>
        <v>10.059880774701119</v>
      </c>
      <c r="D52" s="5" t="s">
        <v>2</v>
      </c>
      <c r="E52" s="68">
        <f>STDEV(E7:E49)</f>
        <v>21.089241275137795</v>
      </c>
    </row>
    <row r="53" spans="1:5" x14ac:dyDescent="0.2">
      <c r="A53" s="5" t="s">
        <v>3</v>
      </c>
      <c r="B53" s="68">
        <f t="shared" ref="B53" si="0">B52/SQRT(B50)</f>
        <v>1.6538342117734972</v>
      </c>
      <c r="D53" s="5" t="s">
        <v>3</v>
      </c>
      <c r="E53" s="68">
        <f t="shared" ref="E53" si="1">E52/SQRT(E50)</f>
        <v>3.293586145314733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5632-0B2F-451A-8357-4EEC367EF5FC}">
  <dimension ref="A1:F49"/>
  <sheetViews>
    <sheetView topLeftCell="A21" workbookViewId="0">
      <selection activeCell="S37" sqref="S37"/>
    </sheetView>
  </sheetViews>
  <sheetFormatPr baseColWidth="10" defaultColWidth="8.83203125" defaultRowHeight="16" x14ac:dyDescent="0.2"/>
  <cols>
    <col min="1" max="1" width="18.5" style="42" customWidth="1"/>
    <col min="2" max="2" width="8.1640625" style="79" customWidth="1"/>
    <col min="3" max="3" width="15.5" style="79" customWidth="1"/>
    <col min="4" max="4" width="15.83203125" style="79" customWidth="1"/>
    <col min="5" max="5" width="12.5" style="79" customWidth="1"/>
    <col min="6" max="6" width="8.6640625" style="42"/>
  </cols>
  <sheetData>
    <row r="1" spans="1:5" x14ac:dyDescent="0.2">
      <c r="A1" s="18" t="s">
        <v>35</v>
      </c>
      <c r="B1" s="27"/>
      <c r="D1" s="27"/>
      <c r="E1" s="23"/>
    </row>
    <row r="2" spans="1:5" x14ac:dyDescent="0.2">
      <c r="A2" s="18"/>
      <c r="B2" s="27"/>
      <c r="C2" s="27"/>
      <c r="D2" s="27"/>
      <c r="E2" s="23"/>
    </row>
    <row r="3" spans="1:5" x14ac:dyDescent="0.2">
      <c r="A3" s="10"/>
      <c r="B3" s="27"/>
      <c r="C3" s="27" t="s">
        <v>158</v>
      </c>
      <c r="D3" s="27"/>
      <c r="E3" s="23"/>
    </row>
    <row r="4" spans="1:5" x14ac:dyDescent="0.2">
      <c r="A4" s="13" t="s">
        <v>12</v>
      </c>
      <c r="B4" s="17" t="s">
        <v>10</v>
      </c>
      <c r="C4" s="5"/>
      <c r="D4" s="17" t="s">
        <v>12</v>
      </c>
      <c r="E4" s="22" t="s">
        <v>13</v>
      </c>
    </row>
    <row r="5" spans="1:5" x14ac:dyDescent="0.2">
      <c r="A5" s="14">
        <v>132150038</v>
      </c>
      <c r="B5" s="27">
        <v>0.56000000000000005</v>
      </c>
      <c r="C5" s="5"/>
      <c r="D5" s="23" t="s">
        <v>25</v>
      </c>
      <c r="E5" s="27">
        <v>2.06</v>
      </c>
    </row>
    <row r="6" spans="1:5" x14ac:dyDescent="0.2">
      <c r="A6" s="14">
        <v>133130002</v>
      </c>
      <c r="B6" s="27">
        <v>1.33</v>
      </c>
      <c r="C6" s="5"/>
      <c r="D6" s="23">
        <v>132120018</v>
      </c>
      <c r="E6" s="27">
        <v>1.02</v>
      </c>
    </row>
    <row r="7" spans="1:5" x14ac:dyDescent="0.2">
      <c r="A7" s="14">
        <v>134010003</v>
      </c>
      <c r="B7" s="27">
        <v>0.73</v>
      </c>
      <c r="C7" s="5"/>
      <c r="D7" s="23">
        <v>133150054</v>
      </c>
      <c r="E7" s="27">
        <v>1.41</v>
      </c>
    </row>
    <row r="8" spans="1:5" x14ac:dyDescent="0.2">
      <c r="A8" s="13" t="s">
        <v>16</v>
      </c>
      <c r="B8" s="27">
        <v>0.71</v>
      </c>
      <c r="C8" s="5"/>
      <c r="D8" s="23">
        <v>146210041</v>
      </c>
      <c r="E8" s="27">
        <v>0.78</v>
      </c>
    </row>
    <row r="9" spans="1:5" x14ac:dyDescent="0.2">
      <c r="A9" s="14" t="s">
        <v>17</v>
      </c>
      <c r="B9" s="27">
        <v>0.76</v>
      </c>
      <c r="C9" s="5"/>
      <c r="D9" s="27">
        <v>146230003</v>
      </c>
      <c r="E9" s="27">
        <v>0.97</v>
      </c>
    </row>
    <row r="10" spans="1:5" x14ac:dyDescent="0.2">
      <c r="A10" s="14" t="s">
        <v>15</v>
      </c>
      <c r="B10" s="27">
        <v>0.54</v>
      </c>
      <c r="C10" s="5"/>
      <c r="D10" s="27">
        <v>146230024</v>
      </c>
      <c r="E10" s="27">
        <v>2.72</v>
      </c>
    </row>
    <row r="11" spans="1:5" x14ac:dyDescent="0.2">
      <c r="A11" s="14" t="s">
        <v>77</v>
      </c>
      <c r="B11" s="27">
        <v>0.96</v>
      </c>
      <c r="C11" s="5"/>
      <c r="D11" s="23">
        <v>146280003</v>
      </c>
      <c r="E11" s="27">
        <v>3.36</v>
      </c>
    </row>
    <row r="12" spans="1:5" x14ac:dyDescent="0.2">
      <c r="A12" s="14" t="s">
        <v>20</v>
      </c>
      <c r="B12" s="27">
        <v>0.82</v>
      </c>
      <c r="C12" s="5"/>
      <c r="D12" s="23" t="s">
        <v>26</v>
      </c>
      <c r="E12" s="27">
        <v>3.32</v>
      </c>
    </row>
    <row r="13" spans="1:5" x14ac:dyDescent="0.2">
      <c r="A13" s="14">
        <v>172230007</v>
      </c>
      <c r="B13" s="27">
        <v>0.98</v>
      </c>
      <c r="C13" s="5"/>
      <c r="D13" s="23" t="s">
        <v>27</v>
      </c>
      <c r="E13" s="27">
        <v>2.23</v>
      </c>
    </row>
    <row r="14" spans="1:5" x14ac:dyDescent="0.2">
      <c r="A14" s="14">
        <v>172240035</v>
      </c>
      <c r="B14" s="27">
        <v>0.55000000000000004</v>
      </c>
      <c r="C14" s="5"/>
      <c r="D14" s="23" t="s">
        <v>28</v>
      </c>
      <c r="E14" s="27">
        <v>1.04</v>
      </c>
    </row>
    <row r="15" spans="1:5" x14ac:dyDescent="0.2">
      <c r="A15" s="14" t="s">
        <v>21</v>
      </c>
      <c r="B15" s="27">
        <v>1.22</v>
      </c>
      <c r="C15" s="5"/>
      <c r="D15" s="23">
        <v>171120005</v>
      </c>
      <c r="E15" s="27">
        <v>1.1299999999999999</v>
      </c>
    </row>
    <row r="16" spans="1:5" x14ac:dyDescent="0.2">
      <c r="A16" s="14" t="s">
        <v>22</v>
      </c>
      <c r="B16" s="27">
        <v>0.6</v>
      </c>
      <c r="C16" s="5"/>
      <c r="D16" s="27" t="s">
        <v>271</v>
      </c>
      <c r="E16" s="83">
        <v>0.90383954048156734</v>
      </c>
    </row>
    <row r="17" spans="1:5" x14ac:dyDescent="0.2">
      <c r="A17" s="14">
        <v>192250020</v>
      </c>
      <c r="B17" s="27">
        <v>0.74</v>
      </c>
      <c r="C17" s="5"/>
      <c r="D17" s="23" t="s">
        <v>29</v>
      </c>
      <c r="E17" s="27">
        <v>0.9</v>
      </c>
    </row>
    <row r="18" spans="1:5" x14ac:dyDescent="0.2">
      <c r="A18" s="14">
        <v>192250038</v>
      </c>
      <c r="B18" s="27">
        <v>0.63</v>
      </c>
      <c r="C18" s="5"/>
      <c r="D18" s="23" t="s">
        <v>30</v>
      </c>
      <c r="E18" s="27">
        <v>0.85</v>
      </c>
    </row>
    <row r="19" spans="1:5" x14ac:dyDescent="0.2">
      <c r="A19" s="14">
        <v>193020012</v>
      </c>
      <c r="B19" s="27">
        <v>0.66</v>
      </c>
      <c r="C19" s="5"/>
      <c r="D19" s="23" t="s">
        <v>31</v>
      </c>
      <c r="E19" s="27">
        <v>1.68</v>
      </c>
    </row>
    <row r="20" spans="1:5" x14ac:dyDescent="0.2">
      <c r="A20" s="14">
        <v>198130073</v>
      </c>
      <c r="B20" s="27">
        <v>0.62</v>
      </c>
      <c r="C20" s="5"/>
      <c r="D20" s="23">
        <v>191120017</v>
      </c>
      <c r="E20" s="27">
        <v>0.75</v>
      </c>
    </row>
    <row r="21" spans="1:5" x14ac:dyDescent="0.2">
      <c r="A21" s="14">
        <v>201160009</v>
      </c>
      <c r="B21" s="27">
        <v>0.49</v>
      </c>
      <c r="C21" s="5"/>
      <c r="D21" s="23">
        <v>192160048</v>
      </c>
      <c r="E21" s="27">
        <v>7.95</v>
      </c>
    </row>
    <row r="22" spans="1:5" x14ac:dyDescent="0.2">
      <c r="A22" s="14">
        <v>201160027</v>
      </c>
      <c r="B22" s="27">
        <v>0.78</v>
      </c>
      <c r="C22" s="5"/>
      <c r="D22" s="23">
        <v>192200009</v>
      </c>
      <c r="E22" s="27">
        <v>1.08</v>
      </c>
    </row>
    <row r="23" spans="1:5" x14ac:dyDescent="0.2">
      <c r="A23" s="14">
        <v>201160044</v>
      </c>
      <c r="B23" s="27">
        <v>0.59</v>
      </c>
      <c r="C23" s="5"/>
      <c r="D23" s="23">
        <v>193030013</v>
      </c>
      <c r="E23" s="27">
        <v>1.97</v>
      </c>
    </row>
    <row r="24" spans="1:5" x14ac:dyDescent="0.2">
      <c r="A24" s="14">
        <v>201270007</v>
      </c>
      <c r="B24" s="27">
        <v>0.82</v>
      </c>
      <c r="C24" s="5"/>
      <c r="D24" s="23">
        <v>198160034</v>
      </c>
      <c r="E24" s="27">
        <v>0.66</v>
      </c>
    </row>
    <row r="25" spans="1:5" x14ac:dyDescent="0.2">
      <c r="A25" s="14">
        <v>201270034</v>
      </c>
      <c r="B25" s="27">
        <v>0.65</v>
      </c>
      <c r="C25" s="5"/>
      <c r="D25" s="23" t="s">
        <v>32</v>
      </c>
      <c r="E25" s="27">
        <v>0.9</v>
      </c>
    </row>
    <row r="26" spans="1:5" x14ac:dyDescent="0.2">
      <c r="A26" s="14">
        <v>201290019</v>
      </c>
      <c r="B26" s="27">
        <v>1.07</v>
      </c>
      <c r="C26" s="5"/>
      <c r="D26" s="23">
        <v>201130004</v>
      </c>
      <c r="E26" s="27">
        <v>0.5</v>
      </c>
    </row>
    <row r="27" spans="1:5" x14ac:dyDescent="0.2">
      <c r="A27" s="14">
        <v>209230013</v>
      </c>
      <c r="B27" s="27">
        <v>0.66</v>
      </c>
      <c r="C27" s="5"/>
      <c r="D27" s="23">
        <v>201130031</v>
      </c>
      <c r="E27" s="27">
        <v>0.72</v>
      </c>
    </row>
    <row r="28" spans="1:5" x14ac:dyDescent="0.2">
      <c r="A28" s="14">
        <v>209230030</v>
      </c>
      <c r="B28" s="27">
        <v>0.61</v>
      </c>
      <c r="C28" s="5"/>
      <c r="D28" s="23">
        <v>201270007</v>
      </c>
      <c r="E28" s="27">
        <v>0.82</v>
      </c>
    </row>
    <row r="29" spans="1:5" x14ac:dyDescent="0.2">
      <c r="A29" s="14" t="s">
        <v>23</v>
      </c>
      <c r="B29" s="27">
        <v>0.65</v>
      </c>
      <c r="C29" s="5"/>
      <c r="D29" s="23">
        <v>201270034</v>
      </c>
      <c r="E29" s="27">
        <v>0.65</v>
      </c>
    </row>
    <row r="30" spans="1:5" x14ac:dyDescent="0.2">
      <c r="A30" s="14" t="s">
        <v>24</v>
      </c>
      <c r="B30" s="27">
        <v>0.78</v>
      </c>
      <c r="C30" s="5"/>
      <c r="D30" s="23">
        <v>209240024</v>
      </c>
      <c r="E30" s="27">
        <v>0.48</v>
      </c>
    </row>
    <row r="31" spans="1:5" x14ac:dyDescent="0.2">
      <c r="A31" s="14">
        <v>221060025</v>
      </c>
      <c r="B31" s="27">
        <v>0.98</v>
      </c>
      <c r="C31" s="5"/>
      <c r="D31" s="23">
        <v>217120034</v>
      </c>
      <c r="E31" s="27">
        <v>1.23</v>
      </c>
    </row>
    <row r="32" spans="1:5" x14ac:dyDescent="0.2">
      <c r="A32" s="14">
        <v>251270020</v>
      </c>
      <c r="B32" s="30">
        <v>0.64998704195022605</v>
      </c>
      <c r="C32" s="5"/>
      <c r="D32" s="27" t="s">
        <v>33</v>
      </c>
      <c r="E32" s="27">
        <v>0.85</v>
      </c>
    </row>
    <row r="33" spans="1:5" x14ac:dyDescent="0.2">
      <c r="A33" s="14">
        <v>252120005</v>
      </c>
      <c r="B33" s="30">
        <v>0.75778927803039564</v>
      </c>
      <c r="C33" s="5"/>
      <c r="D33" s="27" t="s">
        <v>34</v>
      </c>
      <c r="E33" s="27">
        <v>1.05</v>
      </c>
    </row>
    <row r="34" spans="1:5" x14ac:dyDescent="0.2">
      <c r="A34" s="14">
        <v>252120021</v>
      </c>
      <c r="B34" s="30">
        <v>0.81067035198211701</v>
      </c>
      <c r="C34" s="5"/>
      <c r="D34" s="27" t="s">
        <v>163</v>
      </c>
      <c r="E34" s="30">
        <v>0.77046372890472392</v>
      </c>
    </row>
    <row r="35" spans="1:5" x14ac:dyDescent="0.2">
      <c r="A35" s="14">
        <v>253200010</v>
      </c>
      <c r="B35" s="30">
        <v>1.1003406405448879</v>
      </c>
      <c r="C35" s="5"/>
      <c r="D35" s="30" t="s">
        <v>272</v>
      </c>
      <c r="E35" s="30">
        <v>0.7067720890045166</v>
      </c>
    </row>
    <row r="36" spans="1:5" x14ac:dyDescent="0.2">
      <c r="A36" s="14">
        <v>253200037</v>
      </c>
      <c r="B36" s="30">
        <v>0.58146883249282832</v>
      </c>
      <c r="C36" s="5"/>
      <c r="D36" s="27">
        <v>251090017</v>
      </c>
      <c r="E36" s="30">
        <v>1.0182770371437022</v>
      </c>
    </row>
    <row r="37" spans="1:5" x14ac:dyDescent="0.2">
      <c r="A37" s="14"/>
      <c r="B37" s="27"/>
      <c r="C37" s="5"/>
      <c r="D37" s="27">
        <v>251160011</v>
      </c>
      <c r="E37" s="30">
        <v>1.033188899358112</v>
      </c>
    </row>
    <row r="38" spans="1:5" x14ac:dyDescent="0.2">
      <c r="A38" s="14"/>
      <c r="B38" s="27"/>
      <c r="C38" s="5"/>
      <c r="D38" s="27">
        <v>251160026</v>
      </c>
      <c r="E38" s="30">
        <v>0.9682469844818099</v>
      </c>
    </row>
    <row r="39" spans="1:5" x14ac:dyDescent="0.2">
      <c r="A39" s="14"/>
      <c r="B39" s="27"/>
      <c r="C39" s="5"/>
      <c r="D39" s="27">
        <v>251160044</v>
      </c>
      <c r="E39" s="30">
        <v>2.6031645536422681</v>
      </c>
    </row>
    <row r="40" spans="1:5" x14ac:dyDescent="0.2">
      <c r="C40" s="5"/>
      <c r="D40" s="27">
        <v>252250003</v>
      </c>
      <c r="E40" s="30">
        <v>2.6031645536422681</v>
      </c>
    </row>
    <row r="41" spans="1:5" x14ac:dyDescent="0.2">
      <c r="C41" s="5"/>
      <c r="D41" s="27">
        <v>253190028</v>
      </c>
      <c r="E41" s="30">
        <v>0.69193117618560784</v>
      </c>
    </row>
    <row r="42" spans="1:5" x14ac:dyDescent="0.2">
      <c r="C42" s="5"/>
      <c r="D42" s="27">
        <v>254020031</v>
      </c>
      <c r="E42" s="30">
        <v>0.76891644795735681</v>
      </c>
    </row>
    <row r="43" spans="1:5" x14ac:dyDescent="0.2">
      <c r="C43" s="5"/>
    </row>
    <row r="44" spans="1:5" x14ac:dyDescent="0.2">
      <c r="C44" s="5"/>
    </row>
    <row r="45" spans="1:5" x14ac:dyDescent="0.2">
      <c r="A45" s="14" t="s">
        <v>0</v>
      </c>
      <c r="B45" s="23">
        <f>COUNT(B5:B44)</f>
        <v>32</v>
      </c>
      <c r="C45" s="5"/>
      <c r="D45" s="23" t="s">
        <v>0</v>
      </c>
      <c r="E45" s="23">
        <f>COUNT(E5:E44)</f>
        <v>38</v>
      </c>
    </row>
    <row r="46" spans="1:5" x14ac:dyDescent="0.2">
      <c r="A46" s="14" t="s">
        <v>1</v>
      </c>
      <c r="B46" s="30">
        <f>AVERAGE(B5:B44)</f>
        <v>0.76219550453126417</v>
      </c>
      <c r="C46" s="5"/>
      <c r="D46" s="23" t="s">
        <v>1</v>
      </c>
      <c r="E46" s="30">
        <f>AVERAGE(E5:E44)</f>
        <v>1.4512622371263659</v>
      </c>
    </row>
    <row r="47" spans="1:5" x14ac:dyDescent="0.2">
      <c r="A47" s="14" t="s">
        <v>2</v>
      </c>
      <c r="B47" s="30">
        <f>STDEV(B5:B44)</f>
        <v>0.20529491803443783</v>
      </c>
      <c r="C47" s="5"/>
      <c r="D47" s="23" t="s">
        <v>2</v>
      </c>
      <c r="E47" s="30">
        <f>STDEV(E5:E44)</f>
        <v>1.3279562663349309</v>
      </c>
    </row>
    <row r="48" spans="1:5" x14ac:dyDescent="0.2">
      <c r="A48" s="14" t="s">
        <v>3</v>
      </c>
      <c r="B48" s="30">
        <f t="shared" ref="B48" si="0">B47/SQRT(B45)</f>
        <v>3.6291357171321856E-2</v>
      </c>
      <c r="C48" s="5"/>
      <c r="D48" s="23" t="s">
        <v>3</v>
      </c>
      <c r="E48" s="30">
        <f t="shared" ref="E48" si="1">E47/SQRT(E45)</f>
        <v>0.21542295272435391</v>
      </c>
    </row>
    <row r="49" spans="1:5" x14ac:dyDescent="0.2">
      <c r="A49" s="14" t="s">
        <v>78</v>
      </c>
      <c r="B49" s="23">
        <v>20</v>
      </c>
      <c r="D49" s="23" t="s">
        <v>78</v>
      </c>
      <c r="E49" s="23">
        <v>22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48FE-B5F8-4C12-AA58-7FF9BE135408}">
  <dimension ref="A1:I49"/>
  <sheetViews>
    <sheetView workbookViewId="0">
      <selection activeCell="A11" sqref="A11:B12"/>
    </sheetView>
  </sheetViews>
  <sheetFormatPr baseColWidth="10" defaultColWidth="8.83203125" defaultRowHeight="16" x14ac:dyDescent="0.2"/>
  <cols>
    <col min="1" max="1" width="17.1640625" style="10" customWidth="1"/>
    <col min="2" max="2" width="9.5" style="27" customWidth="1"/>
    <col min="3" max="3" width="21" style="27" customWidth="1"/>
    <col min="4" max="4" width="16.5" style="27" customWidth="1"/>
    <col min="5" max="5" width="13.5" style="27" customWidth="1"/>
  </cols>
  <sheetData>
    <row r="1" spans="1:5" x14ac:dyDescent="0.2">
      <c r="A1" s="18" t="s">
        <v>35</v>
      </c>
    </row>
    <row r="2" spans="1:5" x14ac:dyDescent="0.2">
      <c r="A2" s="18"/>
    </row>
    <row r="3" spans="1:5" x14ac:dyDescent="0.2">
      <c r="C3" s="27" t="s">
        <v>75</v>
      </c>
    </row>
    <row r="4" spans="1:5" x14ac:dyDescent="0.2">
      <c r="A4" s="13" t="s">
        <v>12</v>
      </c>
      <c r="B4" s="17" t="s">
        <v>10</v>
      </c>
      <c r="C4" s="20"/>
      <c r="D4" s="17" t="s">
        <v>12</v>
      </c>
      <c r="E4" s="22" t="s">
        <v>13</v>
      </c>
    </row>
    <row r="5" spans="1:5" x14ac:dyDescent="0.2">
      <c r="A5" s="14">
        <v>132150038</v>
      </c>
      <c r="B5" s="27">
        <v>229.7</v>
      </c>
      <c r="C5" s="20"/>
      <c r="D5" s="23" t="s">
        <v>25</v>
      </c>
      <c r="E5" s="27">
        <v>50.9</v>
      </c>
    </row>
    <row r="6" spans="1:5" x14ac:dyDescent="0.2">
      <c r="A6" s="14">
        <v>133130002</v>
      </c>
      <c r="B6" s="27">
        <v>116.07</v>
      </c>
      <c r="C6" s="20"/>
      <c r="D6" s="23">
        <v>132120018</v>
      </c>
      <c r="E6" s="27">
        <v>100.95</v>
      </c>
    </row>
    <row r="7" spans="1:5" x14ac:dyDescent="0.2">
      <c r="A7" s="14">
        <v>134010003</v>
      </c>
      <c r="B7" s="27">
        <v>162.35</v>
      </c>
      <c r="C7" s="20"/>
      <c r="D7" s="23">
        <v>133150054</v>
      </c>
      <c r="E7" s="27">
        <v>100.46</v>
      </c>
    </row>
    <row r="8" spans="1:5" x14ac:dyDescent="0.2">
      <c r="A8" s="13" t="s">
        <v>16</v>
      </c>
      <c r="B8" s="27">
        <v>147.6</v>
      </c>
      <c r="C8" s="84"/>
      <c r="D8" s="23">
        <v>146210041</v>
      </c>
      <c r="E8" s="27">
        <v>179.57</v>
      </c>
    </row>
    <row r="9" spans="1:5" x14ac:dyDescent="0.2">
      <c r="A9" s="14" t="s">
        <v>17</v>
      </c>
      <c r="B9" s="27">
        <v>142.82</v>
      </c>
      <c r="C9" s="20"/>
      <c r="D9" s="27">
        <v>146230003</v>
      </c>
      <c r="E9" s="27">
        <v>132.19999999999999</v>
      </c>
    </row>
    <row r="10" spans="1:5" x14ac:dyDescent="0.2">
      <c r="A10" s="14" t="s">
        <v>15</v>
      </c>
      <c r="B10" s="27">
        <v>256.25</v>
      </c>
      <c r="C10" s="20"/>
      <c r="D10" s="27">
        <v>146230024</v>
      </c>
      <c r="E10" s="27">
        <v>188.48</v>
      </c>
    </row>
    <row r="11" spans="1:5" x14ac:dyDescent="0.2">
      <c r="A11" s="14" t="s">
        <v>77</v>
      </c>
      <c r="B11" s="27">
        <v>98.57</v>
      </c>
      <c r="C11" s="20"/>
      <c r="D11" s="23">
        <v>146280003</v>
      </c>
      <c r="E11" s="27">
        <v>79.47</v>
      </c>
    </row>
    <row r="12" spans="1:5" x14ac:dyDescent="0.2">
      <c r="A12" s="14" t="s">
        <v>20</v>
      </c>
      <c r="B12" s="27">
        <v>115.25</v>
      </c>
      <c r="C12" s="20"/>
      <c r="D12" s="23" t="s">
        <v>26</v>
      </c>
      <c r="E12" s="27">
        <v>35.549999999999997</v>
      </c>
    </row>
    <row r="13" spans="1:5" x14ac:dyDescent="0.2">
      <c r="A13" s="14">
        <v>172230007</v>
      </c>
      <c r="B13" s="27">
        <v>103.15</v>
      </c>
      <c r="C13" s="20"/>
      <c r="D13" s="23" t="s">
        <v>27</v>
      </c>
      <c r="E13" s="27">
        <v>39.880000000000003</v>
      </c>
    </row>
    <row r="14" spans="1:5" x14ac:dyDescent="0.2">
      <c r="A14" s="14">
        <v>172240035</v>
      </c>
      <c r="B14" s="27">
        <v>193.48</v>
      </c>
      <c r="C14" s="20"/>
      <c r="D14" s="23" t="s">
        <v>28</v>
      </c>
      <c r="E14" s="27">
        <v>78.53</v>
      </c>
    </row>
    <row r="15" spans="1:5" x14ac:dyDescent="0.2">
      <c r="A15" s="14" t="s">
        <v>21</v>
      </c>
      <c r="B15" s="27">
        <v>127.26</v>
      </c>
      <c r="C15" s="20"/>
      <c r="D15" s="23">
        <v>171120005</v>
      </c>
      <c r="E15" s="27">
        <v>125.12</v>
      </c>
    </row>
    <row r="16" spans="1:5" x14ac:dyDescent="0.2">
      <c r="A16" s="14" t="s">
        <v>22</v>
      </c>
      <c r="B16" s="27">
        <v>303.64999999999998</v>
      </c>
      <c r="C16" s="20"/>
      <c r="D16" s="27" t="s">
        <v>271</v>
      </c>
      <c r="E16" s="83">
        <v>122.802734375</v>
      </c>
    </row>
    <row r="17" spans="1:5" x14ac:dyDescent="0.2">
      <c r="A17" s="14">
        <v>192250020</v>
      </c>
      <c r="B17" s="27">
        <v>177.49</v>
      </c>
      <c r="C17" s="20"/>
      <c r="D17" s="23" t="s">
        <v>29</v>
      </c>
      <c r="E17" s="27">
        <v>136.52000000000001</v>
      </c>
    </row>
    <row r="18" spans="1:5" x14ac:dyDescent="0.2">
      <c r="A18" s="14">
        <v>192250038</v>
      </c>
      <c r="B18" s="27">
        <v>186.26</v>
      </c>
      <c r="C18" s="20"/>
      <c r="D18" s="23" t="s">
        <v>30</v>
      </c>
      <c r="E18" s="27">
        <v>139.66999999999999</v>
      </c>
    </row>
    <row r="19" spans="1:5" x14ac:dyDescent="0.2">
      <c r="A19" s="14">
        <v>193020012</v>
      </c>
      <c r="B19" s="27">
        <v>180.16</v>
      </c>
      <c r="C19" s="20"/>
      <c r="D19" s="23" t="s">
        <v>31</v>
      </c>
      <c r="E19" s="27">
        <v>77.31</v>
      </c>
    </row>
    <row r="20" spans="1:5" x14ac:dyDescent="0.2">
      <c r="A20" s="14">
        <v>198130073</v>
      </c>
      <c r="B20" s="27">
        <v>199.69</v>
      </c>
      <c r="C20" s="20"/>
      <c r="D20" s="23">
        <v>191120017</v>
      </c>
      <c r="E20" s="27">
        <v>155.44</v>
      </c>
    </row>
    <row r="21" spans="1:5" x14ac:dyDescent="0.2">
      <c r="A21" s="14">
        <v>201160009</v>
      </c>
      <c r="B21" s="27">
        <v>280.76</v>
      </c>
      <c r="C21" s="20"/>
      <c r="D21" s="23">
        <v>192160048</v>
      </c>
      <c r="E21" s="27">
        <v>62.1</v>
      </c>
    </row>
    <row r="22" spans="1:5" x14ac:dyDescent="0.2">
      <c r="A22" s="14">
        <v>201160027</v>
      </c>
      <c r="B22" s="27">
        <v>279.85000000000002</v>
      </c>
      <c r="C22" s="20"/>
      <c r="D22" s="23">
        <v>192200009</v>
      </c>
      <c r="E22" s="27">
        <v>89.72</v>
      </c>
    </row>
    <row r="23" spans="1:5" x14ac:dyDescent="0.2">
      <c r="A23" s="14">
        <v>201160044</v>
      </c>
      <c r="B23" s="27">
        <v>256.35000000000002</v>
      </c>
      <c r="C23" s="20"/>
      <c r="D23" s="23">
        <v>193030013</v>
      </c>
      <c r="E23" s="27">
        <v>50.66</v>
      </c>
    </row>
    <row r="24" spans="1:5" x14ac:dyDescent="0.2">
      <c r="A24" s="14">
        <v>201270007</v>
      </c>
      <c r="B24" s="27">
        <v>223.19</v>
      </c>
      <c r="C24" s="20"/>
      <c r="D24" s="23">
        <v>198160034</v>
      </c>
      <c r="E24" s="27">
        <v>159.81</v>
      </c>
    </row>
    <row r="25" spans="1:5" x14ac:dyDescent="0.2">
      <c r="A25" s="14">
        <v>201270034</v>
      </c>
      <c r="B25" s="27">
        <v>297.04000000000002</v>
      </c>
      <c r="C25" s="20"/>
      <c r="D25" s="23" t="s">
        <v>32</v>
      </c>
      <c r="E25" s="27">
        <v>94.5</v>
      </c>
    </row>
    <row r="26" spans="1:5" x14ac:dyDescent="0.2">
      <c r="A26" s="14">
        <v>201290019</v>
      </c>
      <c r="B26" s="27">
        <v>121.09</v>
      </c>
      <c r="C26" s="20"/>
      <c r="D26" s="23">
        <v>201130004</v>
      </c>
      <c r="E26" s="27">
        <v>358.99</v>
      </c>
    </row>
    <row r="27" spans="1:5" x14ac:dyDescent="0.2">
      <c r="A27" s="14">
        <v>209230013</v>
      </c>
      <c r="B27" s="27">
        <v>177.61</v>
      </c>
      <c r="C27" s="20"/>
      <c r="D27" s="23">
        <v>201130031</v>
      </c>
      <c r="E27" s="27">
        <v>180.56</v>
      </c>
    </row>
    <row r="28" spans="1:5" x14ac:dyDescent="0.2">
      <c r="A28" s="14">
        <v>209230030</v>
      </c>
      <c r="B28" s="27">
        <v>215.45</v>
      </c>
      <c r="C28" s="20"/>
      <c r="D28" s="23">
        <v>201270007</v>
      </c>
      <c r="E28" s="27">
        <v>225.46</v>
      </c>
    </row>
    <row r="29" spans="1:5" x14ac:dyDescent="0.2">
      <c r="A29" s="14" t="s">
        <v>23</v>
      </c>
      <c r="B29" s="27">
        <v>150.88</v>
      </c>
      <c r="C29" s="20"/>
      <c r="D29" s="23">
        <v>201270034</v>
      </c>
      <c r="E29" s="27">
        <v>297</v>
      </c>
    </row>
    <row r="30" spans="1:5" x14ac:dyDescent="0.2">
      <c r="A30" s="14" t="s">
        <v>24</v>
      </c>
      <c r="B30" s="27">
        <v>167.85</v>
      </c>
      <c r="C30" s="20"/>
      <c r="D30" s="23">
        <v>209240024</v>
      </c>
      <c r="E30" s="27">
        <v>218.14</v>
      </c>
    </row>
    <row r="31" spans="1:5" x14ac:dyDescent="0.2">
      <c r="A31" s="14">
        <v>221060025</v>
      </c>
      <c r="B31" s="27">
        <v>98.39</v>
      </c>
      <c r="C31" s="20"/>
      <c r="D31" s="23">
        <v>217120034</v>
      </c>
      <c r="E31" s="27">
        <v>76.900000000000006</v>
      </c>
    </row>
    <row r="32" spans="1:5" x14ac:dyDescent="0.2">
      <c r="A32" s="14">
        <v>251270020</v>
      </c>
      <c r="B32" s="30">
        <v>175.537109375</v>
      </c>
      <c r="C32" s="20"/>
      <c r="D32" s="27" t="s">
        <v>33</v>
      </c>
      <c r="E32" s="27">
        <v>104.86</v>
      </c>
    </row>
    <row r="33" spans="1:9" x14ac:dyDescent="0.2">
      <c r="A33" s="14">
        <v>252120005</v>
      </c>
      <c r="B33" s="30">
        <v>218.3837890625</v>
      </c>
      <c r="C33" s="20"/>
      <c r="D33" s="27" t="s">
        <v>34</v>
      </c>
      <c r="E33" s="27">
        <v>65.8</v>
      </c>
    </row>
    <row r="34" spans="1:9" x14ac:dyDescent="0.2">
      <c r="A34" s="14">
        <v>252120021</v>
      </c>
      <c r="B34" s="30">
        <v>176.7578125</v>
      </c>
      <c r="C34" s="20"/>
      <c r="D34" s="27" t="s">
        <v>163</v>
      </c>
      <c r="E34" s="30">
        <v>139.5263671875</v>
      </c>
    </row>
    <row r="35" spans="1:9" x14ac:dyDescent="0.2">
      <c r="A35" s="14">
        <v>253200010</v>
      </c>
      <c r="B35" s="30">
        <v>105.1025390625</v>
      </c>
      <c r="C35" s="20"/>
      <c r="D35" s="27" t="s">
        <v>272</v>
      </c>
      <c r="E35" s="30">
        <v>118.7744140625</v>
      </c>
      <c r="I35" s="23"/>
    </row>
    <row r="36" spans="1:9" x14ac:dyDescent="0.2">
      <c r="A36" s="14">
        <v>253200037</v>
      </c>
      <c r="B36" s="30">
        <v>264.6484375</v>
      </c>
      <c r="C36" s="20"/>
      <c r="D36" s="27">
        <v>251090017</v>
      </c>
      <c r="E36" s="30">
        <v>114.8681640625</v>
      </c>
    </row>
    <row r="37" spans="1:9" x14ac:dyDescent="0.2">
      <c r="C37" s="20"/>
      <c r="D37" s="27">
        <v>251160011</v>
      </c>
      <c r="E37" s="30">
        <v>91.756184895833329</v>
      </c>
    </row>
    <row r="38" spans="1:9" x14ac:dyDescent="0.2">
      <c r="C38" s="20"/>
      <c r="D38" s="27">
        <v>251160026</v>
      </c>
      <c r="E38" s="30">
        <v>123.4130859375</v>
      </c>
    </row>
    <row r="39" spans="1:9" x14ac:dyDescent="0.2">
      <c r="D39" s="27">
        <v>251160044</v>
      </c>
      <c r="E39" s="30">
        <v>70.80078125</v>
      </c>
    </row>
    <row r="40" spans="1:9" x14ac:dyDescent="0.2">
      <c r="D40" s="27">
        <v>252250003</v>
      </c>
      <c r="E40" s="30">
        <v>70.80078125</v>
      </c>
    </row>
    <row r="41" spans="1:9" x14ac:dyDescent="0.2">
      <c r="D41" s="27">
        <v>253190028</v>
      </c>
      <c r="E41" s="30">
        <v>105.95703125</v>
      </c>
    </row>
    <row r="42" spans="1:9" x14ac:dyDescent="0.2">
      <c r="C42" s="23"/>
      <c r="D42" s="27">
        <v>254020031</v>
      </c>
      <c r="E42" s="30">
        <v>122.27376302083333</v>
      </c>
    </row>
    <row r="43" spans="1:9" x14ac:dyDescent="0.2">
      <c r="A43" s="14" t="s">
        <v>0</v>
      </c>
      <c r="B43" s="23">
        <f>COUNT(B5:B42)</f>
        <v>32</v>
      </c>
    </row>
    <row r="44" spans="1:9" x14ac:dyDescent="0.2">
      <c r="A44" s="14" t="s">
        <v>1</v>
      </c>
      <c r="B44" s="30">
        <f>AVERAGE(B5:B42)</f>
        <v>185.894990234375</v>
      </c>
    </row>
    <row r="45" spans="1:9" x14ac:dyDescent="0.2">
      <c r="A45" s="14" t="s">
        <v>2</v>
      </c>
      <c r="B45" s="30">
        <f>STDEV(B5:B42)</f>
        <v>61.592015361690969</v>
      </c>
      <c r="D45" s="23" t="s">
        <v>0</v>
      </c>
      <c r="E45" s="23">
        <f>COUNT(E5:E44)</f>
        <v>38</v>
      </c>
    </row>
    <row r="46" spans="1:9" x14ac:dyDescent="0.2">
      <c r="A46" s="14" t="s">
        <v>3</v>
      </c>
      <c r="B46" s="30">
        <f t="shared" ref="B46" si="0">B45/SQRT(B43)</f>
        <v>10.888032932299422</v>
      </c>
      <c r="D46" s="23" t="s">
        <v>1</v>
      </c>
      <c r="E46" s="30">
        <f>AVERAGE(E5:E44)</f>
        <v>123.30324492872806</v>
      </c>
    </row>
    <row r="47" spans="1:9" x14ac:dyDescent="0.2">
      <c r="A47" s="14" t="s">
        <v>78</v>
      </c>
      <c r="B47" s="23">
        <v>20</v>
      </c>
      <c r="D47" s="23" t="s">
        <v>2</v>
      </c>
      <c r="E47" s="30">
        <f>STDEV(E5:E44)</f>
        <v>67.71212264738034</v>
      </c>
    </row>
    <row r="48" spans="1:9" x14ac:dyDescent="0.2">
      <c r="D48" s="23" t="s">
        <v>3</v>
      </c>
      <c r="E48" s="30">
        <f t="shared" ref="E48" si="1">E47/SQRT(E45)</f>
        <v>10.98435676363853</v>
      </c>
    </row>
    <row r="49" spans="4:5" x14ac:dyDescent="0.2">
      <c r="D49" s="23" t="s">
        <v>78</v>
      </c>
      <c r="E49" s="23">
        <v>22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1DC5-AFF5-4769-BCD4-6B5747D3C657}">
  <dimension ref="A1:E49"/>
  <sheetViews>
    <sheetView workbookViewId="0">
      <selection activeCell="N10" sqref="N10"/>
    </sheetView>
  </sheetViews>
  <sheetFormatPr baseColWidth="10" defaultColWidth="8.83203125" defaultRowHeight="16" x14ac:dyDescent="0.2"/>
  <cols>
    <col min="1" max="1" width="14.5" style="81" customWidth="1"/>
    <col min="2" max="2" width="9.83203125" style="79" customWidth="1"/>
    <col min="3" max="3" width="8.6640625" style="79"/>
    <col min="4" max="4" width="15.5" style="79" customWidth="1"/>
    <col min="5" max="5" width="14.33203125" style="82" customWidth="1"/>
  </cols>
  <sheetData>
    <row r="1" spans="1:5" x14ac:dyDescent="0.2">
      <c r="A1" s="14" t="s">
        <v>35</v>
      </c>
      <c r="B1" s="23"/>
      <c r="C1" s="23"/>
      <c r="D1" s="23"/>
      <c r="E1" s="27"/>
    </row>
    <row r="2" spans="1:5" x14ac:dyDescent="0.2">
      <c r="A2" s="14"/>
      <c r="B2" s="23"/>
      <c r="C2" s="23"/>
      <c r="D2" s="23"/>
      <c r="E2" s="27"/>
    </row>
    <row r="3" spans="1:5" x14ac:dyDescent="0.2">
      <c r="A3" s="14"/>
      <c r="B3" s="14"/>
      <c r="C3" s="28" t="s">
        <v>76</v>
      </c>
      <c r="D3" s="23"/>
      <c r="E3" s="27"/>
    </row>
    <row r="4" spans="1:5" x14ac:dyDescent="0.2">
      <c r="A4" s="13" t="s">
        <v>12</v>
      </c>
      <c r="B4" s="17" t="s">
        <v>10</v>
      </c>
      <c r="C4" s="17"/>
      <c r="D4" s="17" t="s">
        <v>12</v>
      </c>
      <c r="E4" s="22" t="s">
        <v>13</v>
      </c>
    </row>
    <row r="5" spans="1:5" x14ac:dyDescent="0.2">
      <c r="A5" s="14">
        <v>132150038</v>
      </c>
      <c r="B5" s="27">
        <v>-150.25</v>
      </c>
      <c r="D5" s="23" t="s">
        <v>25</v>
      </c>
      <c r="E5" s="27">
        <v>-79.83</v>
      </c>
    </row>
    <row r="6" spans="1:5" x14ac:dyDescent="0.2">
      <c r="A6" s="14">
        <v>133130002</v>
      </c>
      <c r="B6" s="27">
        <v>-63.88</v>
      </c>
      <c r="D6" s="23">
        <v>132120018</v>
      </c>
      <c r="E6" s="27">
        <v>-77.760000000000005</v>
      </c>
    </row>
    <row r="7" spans="1:5" x14ac:dyDescent="0.2">
      <c r="A7" s="14">
        <v>134010003</v>
      </c>
      <c r="B7" s="27">
        <v>-93.99</v>
      </c>
      <c r="D7" s="23">
        <v>133150054</v>
      </c>
      <c r="E7" s="27">
        <v>-58.72</v>
      </c>
    </row>
    <row r="8" spans="1:5" x14ac:dyDescent="0.2">
      <c r="A8" s="13" t="s">
        <v>16</v>
      </c>
      <c r="B8" s="27">
        <v>-95.01</v>
      </c>
      <c r="D8" s="23">
        <v>146210041</v>
      </c>
      <c r="E8" s="27">
        <v>-96.8</v>
      </c>
    </row>
    <row r="9" spans="1:5" x14ac:dyDescent="0.2">
      <c r="A9" s="14" t="s">
        <v>17</v>
      </c>
      <c r="B9" s="27">
        <v>-99.08</v>
      </c>
      <c r="D9" s="27">
        <v>146230003</v>
      </c>
      <c r="E9" s="27">
        <v>-91.8</v>
      </c>
    </row>
    <row r="10" spans="1:5" x14ac:dyDescent="0.2">
      <c r="A10" s="14" t="s">
        <v>15</v>
      </c>
      <c r="B10" s="27">
        <v>-201.21</v>
      </c>
      <c r="D10" s="27">
        <v>146230024</v>
      </c>
      <c r="E10" s="27">
        <v>-34.299999999999997</v>
      </c>
    </row>
    <row r="11" spans="1:5" x14ac:dyDescent="0.2">
      <c r="A11" s="14" t="s">
        <v>77</v>
      </c>
      <c r="B11" s="27">
        <v>-62.76</v>
      </c>
      <c r="D11" s="23">
        <v>146280003</v>
      </c>
      <c r="E11" s="27">
        <v>-53.34</v>
      </c>
    </row>
    <row r="12" spans="1:5" x14ac:dyDescent="0.2">
      <c r="A12" s="14" t="s">
        <v>20</v>
      </c>
      <c r="B12" s="27">
        <v>-84.03</v>
      </c>
      <c r="D12" s="23" t="s">
        <v>26</v>
      </c>
      <c r="E12" s="27">
        <v>-25.48</v>
      </c>
    </row>
    <row r="13" spans="1:5" x14ac:dyDescent="0.2">
      <c r="A13" s="14">
        <v>172230007</v>
      </c>
      <c r="B13" s="27">
        <v>-57.68</v>
      </c>
      <c r="D13" s="23" t="s">
        <v>27</v>
      </c>
      <c r="E13" s="27">
        <v>-42.22</v>
      </c>
    </row>
    <row r="14" spans="1:5" x14ac:dyDescent="0.2">
      <c r="A14" s="14">
        <v>172240035</v>
      </c>
      <c r="B14" s="27">
        <v>-144.13999999999999</v>
      </c>
      <c r="D14" s="23" t="s">
        <v>28</v>
      </c>
      <c r="E14" s="27">
        <v>-47.3</v>
      </c>
    </row>
    <row r="15" spans="1:5" x14ac:dyDescent="0.2">
      <c r="A15" s="14" t="s">
        <v>21</v>
      </c>
      <c r="B15" s="27">
        <v>-53.41</v>
      </c>
      <c r="D15" s="23">
        <v>171120005</v>
      </c>
      <c r="E15" s="27">
        <v>-86.98</v>
      </c>
    </row>
    <row r="16" spans="1:5" x14ac:dyDescent="0.2">
      <c r="A16" s="14" t="s">
        <v>22</v>
      </c>
      <c r="B16" s="27">
        <v>-145.77000000000001</v>
      </c>
      <c r="D16" s="27" t="s">
        <v>271</v>
      </c>
      <c r="E16" s="83">
        <v>-87.890625</v>
      </c>
    </row>
    <row r="17" spans="1:5" x14ac:dyDescent="0.2">
      <c r="A17" s="14">
        <v>192250020</v>
      </c>
      <c r="B17" s="27">
        <v>-93.14</v>
      </c>
      <c r="D17" s="23" t="s">
        <v>29</v>
      </c>
      <c r="E17" s="27">
        <v>-74.77</v>
      </c>
    </row>
    <row r="18" spans="1:5" x14ac:dyDescent="0.2">
      <c r="A18" s="14">
        <v>192250038</v>
      </c>
      <c r="B18" s="27">
        <v>-118.51</v>
      </c>
      <c r="D18" s="23" t="s">
        <v>30</v>
      </c>
      <c r="E18" s="27">
        <v>-86.87</v>
      </c>
    </row>
    <row r="19" spans="1:5" x14ac:dyDescent="0.2">
      <c r="A19" s="14">
        <v>193020012</v>
      </c>
      <c r="B19" s="27">
        <v>-109.97</v>
      </c>
      <c r="D19" s="23" t="s">
        <v>31</v>
      </c>
      <c r="E19" s="27">
        <v>-51.68</v>
      </c>
    </row>
    <row r="20" spans="1:5" x14ac:dyDescent="0.2">
      <c r="A20" s="14">
        <v>198130073</v>
      </c>
      <c r="B20" s="27">
        <v>-118.1</v>
      </c>
      <c r="D20" s="23">
        <v>191120017</v>
      </c>
      <c r="E20" s="27">
        <v>-101.22</v>
      </c>
    </row>
    <row r="21" spans="1:5" x14ac:dyDescent="0.2">
      <c r="A21" s="14">
        <v>201160009</v>
      </c>
      <c r="B21" s="27">
        <v>-191.55</v>
      </c>
      <c r="D21" s="23">
        <v>192160048</v>
      </c>
      <c r="E21" s="27">
        <v>-51.73</v>
      </c>
    </row>
    <row r="22" spans="1:5" x14ac:dyDescent="0.2">
      <c r="A22" s="14">
        <v>201160027</v>
      </c>
      <c r="B22" s="27">
        <v>-109.76</v>
      </c>
      <c r="D22" s="23">
        <v>192200009</v>
      </c>
      <c r="E22" s="27">
        <v>-56.36</v>
      </c>
    </row>
    <row r="23" spans="1:5" x14ac:dyDescent="0.2">
      <c r="A23" s="14">
        <v>201160044</v>
      </c>
      <c r="B23" s="27">
        <v>-138.35</v>
      </c>
      <c r="D23" s="23">
        <v>193030013</v>
      </c>
      <c r="E23" s="27">
        <v>-51.88</v>
      </c>
    </row>
    <row r="24" spans="1:5" x14ac:dyDescent="0.2">
      <c r="A24" s="14">
        <v>201270007</v>
      </c>
      <c r="B24" s="27">
        <v>-111.39</v>
      </c>
      <c r="D24" s="23">
        <v>198160034</v>
      </c>
      <c r="E24" s="27">
        <v>-105.18</v>
      </c>
    </row>
    <row r="25" spans="1:5" x14ac:dyDescent="0.2">
      <c r="A25" s="14">
        <v>201270034</v>
      </c>
      <c r="B25" s="27">
        <v>-127.36</v>
      </c>
      <c r="D25" s="23" t="s">
        <v>32</v>
      </c>
      <c r="E25" s="27">
        <v>-71</v>
      </c>
    </row>
    <row r="26" spans="1:5" x14ac:dyDescent="0.2">
      <c r="A26" s="14">
        <v>201290019</v>
      </c>
      <c r="B26" s="27">
        <v>-74.34</v>
      </c>
      <c r="D26" s="23">
        <v>201130004</v>
      </c>
      <c r="E26" s="27">
        <v>-215.15</v>
      </c>
    </row>
    <row r="27" spans="1:5" x14ac:dyDescent="0.2">
      <c r="A27" s="14">
        <v>209230013</v>
      </c>
      <c r="B27" s="27">
        <v>-113.89</v>
      </c>
      <c r="D27" s="23">
        <v>201130031</v>
      </c>
      <c r="E27" s="27">
        <v>-121.97</v>
      </c>
    </row>
    <row r="28" spans="1:5" x14ac:dyDescent="0.2">
      <c r="A28" s="14">
        <v>209230030</v>
      </c>
      <c r="B28" s="27">
        <v>-115.84</v>
      </c>
      <c r="D28" s="23">
        <v>201270007</v>
      </c>
      <c r="E28" s="27">
        <v>-111.82</v>
      </c>
    </row>
    <row r="29" spans="1:5" x14ac:dyDescent="0.2">
      <c r="A29" s="14" t="s">
        <v>23</v>
      </c>
      <c r="B29" s="27">
        <v>-95.58</v>
      </c>
      <c r="D29" s="23">
        <v>201270034</v>
      </c>
      <c r="E29" s="27">
        <v>-127.69</v>
      </c>
    </row>
    <row r="30" spans="1:5" x14ac:dyDescent="0.2">
      <c r="A30" s="14" t="s">
        <v>24</v>
      </c>
      <c r="B30" s="27">
        <v>-90.03</v>
      </c>
      <c r="D30" s="23">
        <v>209240024</v>
      </c>
      <c r="E30" s="27">
        <v>-165.65</v>
      </c>
    </row>
    <row r="31" spans="1:5" x14ac:dyDescent="0.2">
      <c r="A31" s="14">
        <v>221060025</v>
      </c>
      <c r="B31" s="27">
        <v>-69.209999999999994</v>
      </c>
      <c r="D31" s="23">
        <v>217120034</v>
      </c>
      <c r="E31" s="27">
        <v>-58.8</v>
      </c>
    </row>
    <row r="32" spans="1:5" x14ac:dyDescent="0.2">
      <c r="A32" s="14">
        <v>251270020</v>
      </c>
      <c r="B32" s="27">
        <v>-107.5439453125</v>
      </c>
      <c r="D32" s="27" t="s">
        <v>33</v>
      </c>
      <c r="E32" s="27">
        <v>-70.31</v>
      </c>
    </row>
    <row r="33" spans="1:5" x14ac:dyDescent="0.2">
      <c r="A33" s="14">
        <v>252120005</v>
      </c>
      <c r="B33" s="27">
        <v>-124.267578125</v>
      </c>
      <c r="D33" s="27" t="s">
        <v>34</v>
      </c>
      <c r="E33" s="27">
        <v>-50.9</v>
      </c>
    </row>
    <row r="34" spans="1:5" x14ac:dyDescent="0.2">
      <c r="A34" s="14">
        <v>252120021</v>
      </c>
      <c r="B34" s="27">
        <v>-111.9384765625</v>
      </c>
      <c r="D34" s="27" t="s">
        <v>163</v>
      </c>
      <c r="E34" s="80">
        <v>-86.669921875</v>
      </c>
    </row>
    <row r="35" spans="1:5" x14ac:dyDescent="0.2">
      <c r="A35" s="14">
        <v>253200010</v>
      </c>
      <c r="B35" s="27">
        <v>-78.369140625</v>
      </c>
      <c r="D35" s="27" t="s">
        <v>272</v>
      </c>
      <c r="E35" s="30">
        <v>-106.5673828125</v>
      </c>
    </row>
    <row r="36" spans="1:5" x14ac:dyDescent="0.2">
      <c r="A36" s="14">
        <v>253200037</v>
      </c>
      <c r="B36" s="27">
        <v>-128.90625</v>
      </c>
      <c r="D36" s="27">
        <v>251090017</v>
      </c>
      <c r="E36" s="80">
        <v>-73.73046875</v>
      </c>
    </row>
    <row r="37" spans="1:5" x14ac:dyDescent="0.2">
      <c r="A37" s="14"/>
      <c r="B37" s="27"/>
      <c r="D37" s="27">
        <v>251160011</v>
      </c>
      <c r="E37" s="80">
        <v>-78.531901041666671</v>
      </c>
    </row>
    <row r="38" spans="1:5" x14ac:dyDescent="0.2">
      <c r="A38" s="14"/>
      <c r="D38" s="27">
        <v>251160026</v>
      </c>
      <c r="E38" s="80">
        <v>-86.7919921875</v>
      </c>
    </row>
    <row r="39" spans="1:5" x14ac:dyDescent="0.2">
      <c r="A39" s="14"/>
      <c r="D39" s="27">
        <v>251160044</v>
      </c>
      <c r="E39" s="80">
        <v>-42.3583984375</v>
      </c>
    </row>
    <row r="40" spans="1:5" x14ac:dyDescent="0.2">
      <c r="A40" s="14"/>
      <c r="D40" s="27">
        <v>252250003</v>
      </c>
      <c r="E40" s="80">
        <v>-42.3583984375</v>
      </c>
    </row>
    <row r="41" spans="1:5" x14ac:dyDescent="0.2">
      <c r="A41" s="14"/>
      <c r="D41" s="27">
        <v>253190028</v>
      </c>
      <c r="E41" s="80">
        <v>-97.7783203125</v>
      </c>
    </row>
    <row r="42" spans="1:5" x14ac:dyDescent="0.2">
      <c r="D42" s="27">
        <v>254020031</v>
      </c>
      <c r="E42" s="80">
        <v>-93.3837890625</v>
      </c>
    </row>
    <row r="43" spans="1:5" x14ac:dyDescent="0.2">
      <c r="A43" s="14" t="s">
        <v>0</v>
      </c>
      <c r="B43" s="23">
        <f>COUNT(B5:B42)</f>
        <v>32</v>
      </c>
      <c r="C43" s="23"/>
      <c r="D43" s="27"/>
      <c r="E43" s="80"/>
    </row>
    <row r="44" spans="1:5" x14ac:dyDescent="0.2">
      <c r="A44" s="14" t="s">
        <v>1</v>
      </c>
      <c r="B44" s="33">
        <f>AVERAGE(B5:B42)</f>
        <v>-108.72673095703125</v>
      </c>
      <c r="C44" s="23"/>
    </row>
    <row r="45" spans="1:5" x14ac:dyDescent="0.2">
      <c r="A45" s="14" t="s">
        <v>2</v>
      </c>
      <c r="B45" s="33">
        <f>STDEV(B5:B42)</f>
        <v>34.663446902317247</v>
      </c>
      <c r="C45" s="23"/>
      <c r="D45" s="23" t="s">
        <v>0</v>
      </c>
      <c r="E45" s="23">
        <f>COUNT(E5:E44)</f>
        <v>38</v>
      </c>
    </row>
    <row r="46" spans="1:5" x14ac:dyDescent="0.2">
      <c r="A46" s="14" t="s">
        <v>3</v>
      </c>
      <c r="B46" s="33">
        <f t="shared" ref="B46" si="0">B45/SQRT(B43)</f>
        <v>6.1276895909820874</v>
      </c>
      <c r="C46" s="23"/>
      <c r="D46" s="23" t="s">
        <v>1</v>
      </c>
      <c r="E46" s="33">
        <f>AVERAGE(E5:E44)</f>
        <v>-80.620294682017544</v>
      </c>
    </row>
    <row r="47" spans="1:5" x14ac:dyDescent="0.2">
      <c r="A47" s="14" t="s">
        <v>78</v>
      </c>
      <c r="B47" s="23">
        <v>20</v>
      </c>
      <c r="C47" s="23"/>
      <c r="D47" s="23" t="s">
        <v>2</v>
      </c>
      <c r="E47" s="33">
        <f>STDEV(E5:E44)</f>
        <v>36.628704212718077</v>
      </c>
    </row>
    <row r="48" spans="1:5" x14ac:dyDescent="0.2">
      <c r="D48" s="23" t="s">
        <v>3</v>
      </c>
      <c r="E48" s="33">
        <f t="shared" ref="E48" si="1">E47/SQRT(E45)</f>
        <v>5.9419604515654756</v>
      </c>
    </row>
    <row r="49" spans="4:5" x14ac:dyDescent="0.2">
      <c r="D49" s="23" t="s">
        <v>78</v>
      </c>
      <c r="E49" s="23">
        <v>22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E8F7A-F382-4336-8B5E-30B1595E913D}">
  <dimension ref="A1:E53"/>
  <sheetViews>
    <sheetView topLeftCell="A21" workbookViewId="0">
      <selection activeCell="I30" sqref="I30"/>
    </sheetView>
  </sheetViews>
  <sheetFormatPr baseColWidth="10" defaultColWidth="8.83203125" defaultRowHeight="16" x14ac:dyDescent="0.2"/>
  <cols>
    <col min="1" max="1" width="17.33203125" style="28" customWidth="1"/>
    <col min="2" max="2" width="14" style="18" customWidth="1"/>
    <col min="3" max="3" width="8.6640625" style="18"/>
    <col min="4" max="4" width="13.5" style="18" customWidth="1"/>
    <col min="5" max="5" width="10.6640625" style="18" customWidth="1"/>
  </cols>
  <sheetData>
    <row r="1" spans="1:5" x14ac:dyDescent="0.2">
      <c r="A1" s="28" t="s">
        <v>35</v>
      </c>
    </row>
    <row r="4" spans="1:5" x14ac:dyDescent="0.2">
      <c r="C4" s="28" t="s">
        <v>289</v>
      </c>
    </row>
    <row r="6" spans="1:5" x14ac:dyDescent="0.2">
      <c r="A6" s="28" t="s">
        <v>164</v>
      </c>
      <c r="B6" s="29" t="s">
        <v>288</v>
      </c>
      <c r="D6" s="28" t="s">
        <v>164</v>
      </c>
      <c r="E6" s="29" t="s">
        <v>288</v>
      </c>
    </row>
    <row r="7" spans="1:5" x14ac:dyDescent="0.2">
      <c r="A7" s="28">
        <v>132150038</v>
      </c>
      <c r="B7" s="29">
        <v>71.702791849772069</v>
      </c>
      <c r="D7" s="14" t="s">
        <v>25</v>
      </c>
      <c r="E7" s="29">
        <v>81.560890197753906</v>
      </c>
    </row>
    <row r="8" spans="1:5" x14ac:dyDescent="0.2">
      <c r="A8" s="28">
        <v>133130002</v>
      </c>
      <c r="B8" s="29">
        <v>79.144355773925682</v>
      </c>
      <c r="D8" s="14">
        <v>132120018</v>
      </c>
      <c r="E8" s="29">
        <v>66.586395263671804</v>
      </c>
    </row>
    <row r="9" spans="1:5" x14ac:dyDescent="0.2">
      <c r="A9" s="28">
        <v>134010003</v>
      </c>
      <c r="B9" s="29">
        <v>60.025650024413999</v>
      </c>
      <c r="D9" s="14">
        <v>133150054</v>
      </c>
      <c r="E9" s="29">
        <v>73.287353515625</v>
      </c>
    </row>
    <row r="10" spans="1:5" x14ac:dyDescent="0.2">
      <c r="A10" s="17" t="s">
        <v>16</v>
      </c>
      <c r="B10" s="38">
        <v>58.0389404296875</v>
      </c>
      <c r="D10" s="14">
        <v>146210041</v>
      </c>
      <c r="E10" s="29">
        <v>70.538146972656193</v>
      </c>
    </row>
    <row r="11" spans="1:5" x14ac:dyDescent="0.2">
      <c r="A11" s="28" t="s">
        <v>17</v>
      </c>
      <c r="B11" s="29">
        <v>62.627438863118435</v>
      </c>
      <c r="D11" s="13">
        <v>146230003</v>
      </c>
      <c r="E11" s="29">
        <v>72.175354003906193</v>
      </c>
    </row>
    <row r="12" spans="1:5" x14ac:dyDescent="0.2">
      <c r="A12" s="28" t="s">
        <v>15</v>
      </c>
      <c r="B12" s="29">
        <v>76.027483622233078</v>
      </c>
      <c r="D12" s="13">
        <v>146230024</v>
      </c>
      <c r="E12" s="29">
        <v>101.947174072265</v>
      </c>
    </row>
    <row r="13" spans="1:5" x14ac:dyDescent="0.2">
      <c r="A13" s="28" t="s">
        <v>77</v>
      </c>
      <c r="B13" s="29">
        <v>50.527828216552699</v>
      </c>
      <c r="D13" s="14">
        <v>146280003</v>
      </c>
      <c r="E13" s="29">
        <v>68.516006469726506</v>
      </c>
    </row>
    <row r="14" spans="1:5" x14ac:dyDescent="0.2">
      <c r="A14" s="28" t="s">
        <v>20</v>
      </c>
      <c r="B14" s="29">
        <v>55.827714284261027</v>
      </c>
      <c r="D14" s="14" t="s">
        <v>26</v>
      </c>
      <c r="E14" s="29">
        <v>64.964256286620994</v>
      </c>
    </row>
    <row r="15" spans="1:5" x14ac:dyDescent="0.2">
      <c r="A15" s="17">
        <v>171130005</v>
      </c>
      <c r="B15" s="38">
        <v>81.336789449055928</v>
      </c>
      <c r="D15" s="14" t="s">
        <v>27</v>
      </c>
      <c r="E15" s="29">
        <v>51.221755981445305</v>
      </c>
    </row>
    <row r="16" spans="1:5" x14ac:dyDescent="0.2">
      <c r="A16" s="17">
        <v>171130024</v>
      </c>
      <c r="B16" s="38">
        <v>70.731315612792898</v>
      </c>
      <c r="D16" s="14" t="s">
        <v>28</v>
      </c>
      <c r="E16" s="29">
        <v>43.1004638671875</v>
      </c>
    </row>
    <row r="17" spans="1:5" x14ac:dyDescent="0.2">
      <c r="A17" s="28">
        <v>172230007</v>
      </c>
      <c r="B17" s="29">
        <v>51.243799845377566</v>
      </c>
      <c r="D17" s="14">
        <v>171120005</v>
      </c>
      <c r="E17" s="29">
        <v>65.42658233642571</v>
      </c>
    </row>
    <row r="18" spans="1:5" x14ac:dyDescent="0.2">
      <c r="A18" s="28">
        <v>172240035</v>
      </c>
      <c r="B18" s="29">
        <v>64.382577896118093</v>
      </c>
      <c r="D18" s="13" t="s">
        <v>271</v>
      </c>
      <c r="E18" s="38">
        <v>59.814189910888601</v>
      </c>
    </row>
    <row r="19" spans="1:5" x14ac:dyDescent="0.2">
      <c r="A19" s="28" t="s">
        <v>21</v>
      </c>
      <c r="B19" s="29">
        <v>60.686500549316399</v>
      </c>
      <c r="D19" s="14" t="s">
        <v>29</v>
      </c>
      <c r="E19" s="29">
        <v>56.020154317220033</v>
      </c>
    </row>
    <row r="20" spans="1:5" x14ac:dyDescent="0.2">
      <c r="A20" s="28" t="s">
        <v>22</v>
      </c>
      <c r="B20" s="29">
        <v>83.226379394531193</v>
      </c>
      <c r="D20" s="14" t="s">
        <v>30</v>
      </c>
      <c r="E20" s="29">
        <v>63.091906229654874</v>
      </c>
    </row>
    <row r="21" spans="1:5" x14ac:dyDescent="0.2">
      <c r="A21" s="28">
        <v>192250020</v>
      </c>
      <c r="B21" s="29">
        <v>61.626453399658203</v>
      </c>
      <c r="D21" s="14" t="s">
        <v>31</v>
      </c>
      <c r="E21" s="29">
        <v>62.321451822916664</v>
      </c>
    </row>
    <row r="22" spans="1:5" x14ac:dyDescent="0.2">
      <c r="A22" s="28">
        <v>192250038</v>
      </c>
      <c r="B22" s="29">
        <v>64.675557454427022</v>
      </c>
      <c r="D22" s="14">
        <v>191120017</v>
      </c>
      <c r="E22" s="29">
        <v>64.125862121582003</v>
      </c>
    </row>
    <row r="23" spans="1:5" x14ac:dyDescent="0.2">
      <c r="A23" s="28">
        <v>193020012</v>
      </c>
      <c r="B23" s="29">
        <v>63.116352717081668</v>
      </c>
      <c r="D23" s="14">
        <v>192160048</v>
      </c>
      <c r="E23" s="29">
        <v>50.956363677978501</v>
      </c>
    </row>
    <row r="24" spans="1:5" x14ac:dyDescent="0.2">
      <c r="A24" s="28">
        <v>198130073</v>
      </c>
      <c r="B24" s="29">
        <v>65.329861958821525</v>
      </c>
      <c r="D24" s="14">
        <v>192200009</v>
      </c>
      <c r="E24" s="29">
        <v>51.675787607828767</v>
      </c>
    </row>
    <row r="25" spans="1:5" x14ac:dyDescent="0.2">
      <c r="A25" s="28">
        <v>201160009</v>
      </c>
      <c r="B25" s="29">
        <v>79.871487935384025</v>
      </c>
      <c r="D25" s="14">
        <v>193030013</v>
      </c>
      <c r="E25" s="29">
        <v>60.844844818115199</v>
      </c>
    </row>
    <row r="26" spans="1:5" x14ac:dyDescent="0.2">
      <c r="A26" s="28">
        <v>201160027</v>
      </c>
      <c r="B26" s="29">
        <v>82.920588175455677</v>
      </c>
      <c r="D26" s="14">
        <v>198160034</v>
      </c>
      <c r="E26" s="29">
        <v>58.742142995198527</v>
      </c>
    </row>
    <row r="27" spans="1:5" x14ac:dyDescent="0.2">
      <c r="A27" s="28">
        <v>201160044</v>
      </c>
      <c r="B27" s="29">
        <v>74.616978963216141</v>
      </c>
      <c r="D27" s="14" t="s">
        <v>32</v>
      </c>
      <c r="E27" s="29">
        <v>50.223028818766267</v>
      </c>
    </row>
    <row r="28" spans="1:5" x14ac:dyDescent="0.2">
      <c r="A28" s="28">
        <v>201270007</v>
      </c>
      <c r="B28" s="29">
        <v>80.431811014811174</v>
      </c>
      <c r="D28" s="14">
        <v>201130004</v>
      </c>
      <c r="E28" s="29">
        <v>95.750506083170578</v>
      </c>
    </row>
    <row r="29" spans="1:5" x14ac:dyDescent="0.2">
      <c r="A29" s="28">
        <v>201270034</v>
      </c>
      <c r="B29" s="29">
        <v>78.202181498209569</v>
      </c>
      <c r="D29" s="14">
        <v>201130031</v>
      </c>
      <c r="E29" s="29">
        <v>74.658754984537651</v>
      </c>
    </row>
    <row r="30" spans="1:5" x14ac:dyDescent="0.2">
      <c r="A30" s="28">
        <v>201290019</v>
      </c>
      <c r="B30" s="29">
        <v>69.009834289550696</v>
      </c>
      <c r="D30" s="14">
        <v>201270007</v>
      </c>
      <c r="E30" s="29">
        <v>80.610847473144503</v>
      </c>
    </row>
    <row r="31" spans="1:5" x14ac:dyDescent="0.2">
      <c r="A31" s="28">
        <v>209230013</v>
      </c>
      <c r="B31" s="29">
        <v>65.359764099120994</v>
      </c>
      <c r="D31" s="14">
        <v>201270034</v>
      </c>
      <c r="E31" s="29">
        <v>78.301872253417898</v>
      </c>
    </row>
    <row r="32" spans="1:5" x14ac:dyDescent="0.2">
      <c r="A32" s="28">
        <v>209230030</v>
      </c>
      <c r="B32" s="29">
        <v>64.063455200195293</v>
      </c>
      <c r="D32" s="14">
        <v>209240024</v>
      </c>
      <c r="E32" s="29">
        <v>64.979156494140597</v>
      </c>
    </row>
    <row r="33" spans="1:5" x14ac:dyDescent="0.2">
      <c r="A33" s="28" t="s">
        <v>23</v>
      </c>
      <c r="B33" s="29">
        <v>52.845634460449197</v>
      </c>
      <c r="D33" s="14">
        <v>209240024</v>
      </c>
      <c r="E33" s="29">
        <v>63.869160461425736</v>
      </c>
    </row>
    <row r="34" spans="1:5" x14ac:dyDescent="0.2">
      <c r="A34" s="28" t="s">
        <v>24</v>
      </c>
      <c r="B34" s="29">
        <v>61.875384012858063</v>
      </c>
      <c r="D34" s="14">
        <v>217120034</v>
      </c>
      <c r="E34" s="29">
        <v>53.341672261555935</v>
      </c>
    </row>
    <row r="35" spans="1:5" x14ac:dyDescent="0.2">
      <c r="A35" s="28">
        <v>221060025</v>
      </c>
      <c r="B35" s="29">
        <v>56.01250076293941</v>
      </c>
      <c r="D35" s="13" t="s">
        <v>33</v>
      </c>
      <c r="E35" s="29">
        <v>48.605625152587798</v>
      </c>
    </row>
    <row r="36" spans="1:5" x14ac:dyDescent="0.2">
      <c r="A36" s="28">
        <v>251270020</v>
      </c>
      <c r="B36" s="29">
        <v>59.731433868408203</v>
      </c>
      <c r="D36" s="13" t="s">
        <v>34</v>
      </c>
      <c r="E36" s="29">
        <v>40.722900390625</v>
      </c>
    </row>
    <row r="37" spans="1:5" x14ac:dyDescent="0.2">
      <c r="A37" s="28">
        <v>252120005</v>
      </c>
      <c r="B37" s="29">
        <v>84.766952514648395</v>
      </c>
      <c r="D37" s="13" t="s">
        <v>163</v>
      </c>
      <c r="E37" s="29">
        <v>56.085128784179595</v>
      </c>
    </row>
    <row r="38" spans="1:5" x14ac:dyDescent="0.2">
      <c r="A38" s="28">
        <v>252120021</v>
      </c>
      <c r="B38" s="29">
        <v>80.619026184082003</v>
      </c>
      <c r="D38" s="13" t="s">
        <v>272</v>
      </c>
      <c r="E38" s="29">
        <v>55.817832946777301</v>
      </c>
    </row>
    <row r="39" spans="1:5" x14ac:dyDescent="0.2">
      <c r="A39" s="28">
        <v>253200010</v>
      </c>
      <c r="B39" s="29">
        <v>68.471770477294868</v>
      </c>
      <c r="D39" s="13">
        <v>251090017</v>
      </c>
      <c r="E39" s="29">
        <v>63.611561584472646</v>
      </c>
    </row>
    <row r="40" spans="1:5" x14ac:dyDescent="0.2">
      <c r="A40" s="28">
        <v>253200037</v>
      </c>
      <c r="B40" s="29">
        <v>70.606536865234304</v>
      </c>
      <c r="D40" s="13">
        <v>251160011</v>
      </c>
      <c r="E40" s="29">
        <v>58.089187622070291</v>
      </c>
    </row>
    <row r="41" spans="1:5" x14ac:dyDescent="0.2">
      <c r="B41" s="29"/>
      <c r="D41" s="13">
        <v>251160026</v>
      </c>
      <c r="E41" s="29">
        <v>66.937872314453074</v>
      </c>
    </row>
    <row r="42" spans="1:5" x14ac:dyDescent="0.2">
      <c r="B42" s="28"/>
      <c r="D42" s="13">
        <v>251160044</v>
      </c>
      <c r="E42" s="29">
        <v>68.782646179199205</v>
      </c>
    </row>
    <row r="43" spans="1:5" x14ac:dyDescent="0.2">
      <c r="B43" s="28"/>
      <c r="D43" s="13">
        <v>252250003</v>
      </c>
      <c r="E43" s="29">
        <v>68.782646179199205</v>
      </c>
    </row>
    <row r="44" spans="1:5" x14ac:dyDescent="0.2">
      <c r="B44" s="28"/>
      <c r="D44" s="13">
        <v>253190028</v>
      </c>
      <c r="E44" s="29">
        <v>50.742420196533203</v>
      </c>
    </row>
    <row r="45" spans="1:5" x14ac:dyDescent="0.2">
      <c r="B45" s="28"/>
      <c r="D45" s="13">
        <v>254020031</v>
      </c>
      <c r="E45" s="29">
        <v>56.015061696370431</v>
      </c>
    </row>
    <row r="46" spans="1:5" x14ac:dyDescent="0.2">
      <c r="B46" s="28"/>
      <c r="D46" s="14"/>
      <c r="E46" s="29"/>
    </row>
    <row r="47" spans="1:5" x14ac:dyDescent="0.2">
      <c r="B47" s="29"/>
      <c r="D47" s="14"/>
      <c r="E47" s="29"/>
    </row>
    <row r="48" spans="1:5" x14ac:dyDescent="0.2">
      <c r="A48" s="28" t="s">
        <v>0</v>
      </c>
      <c r="B48" s="62">
        <f>COUNT(B7:B47)</f>
        <v>34</v>
      </c>
      <c r="D48" s="14" t="s">
        <v>0</v>
      </c>
      <c r="E48" s="62">
        <f>COUNT(E7:E47)</f>
        <v>39</v>
      </c>
    </row>
    <row r="49" spans="1:5" x14ac:dyDescent="0.2">
      <c r="A49" s="29" t="s">
        <v>1</v>
      </c>
      <c r="B49" s="29">
        <f>AVERAGE(B7:B47)</f>
        <v>67.931856813617728</v>
      </c>
      <c r="D49" s="103" t="s">
        <v>1</v>
      </c>
      <c r="E49" s="29">
        <f>AVERAGE(E7:E47)</f>
        <v>63.662691393469103</v>
      </c>
    </row>
    <row r="50" spans="1:5" x14ac:dyDescent="0.2">
      <c r="A50" s="29" t="s">
        <v>2</v>
      </c>
      <c r="B50" s="29">
        <f>STDEV(B7:B47)</f>
        <v>10.015990879542571</v>
      </c>
      <c r="D50" s="103" t="s">
        <v>2</v>
      </c>
      <c r="E50" s="29">
        <f>STDEV(E7:E47)</f>
        <v>12.730318101661844</v>
      </c>
    </row>
    <row r="51" spans="1:5" x14ac:dyDescent="0.2">
      <c r="A51" s="29" t="s">
        <v>3</v>
      </c>
      <c r="B51" s="29">
        <f>B50/SQRT(B48)</f>
        <v>1.7177282646418235</v>
      </c>
      <c r="D51" s="103" t="s">
        <v>3</v>
      </c>
      <c r="E51" s="29">
        <f>E50/SQRT(E48)</f>
        <v>2.0384823349705927</v>
      </c>
    </row>
    <row r="52" spans="1:5" x14ac:dyDescent="0.2">
      <c r="D52" s="29"/>
    </row>
    <row r="53" spans="1:5" x14ac:dyDescent="0.2">
      <c r="D53" s="2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B0D3B-8A2A-41D8-97D6-315B15A57EC3}">
  <dimension ref="A1:E47"/>
  <sheetViews>
    <sheetView workbookViewId="0">
      <selection activeCell="V26" sqref="V26"/>
    </sheetView>
  </sheetViews>
  <sheetFormatPr baseColWidth="10" defaultColWidth="8.83203125" defaultRowHeight="16" x14ac:dyDescent="0.2"/>
  <cols>
    <col min="1" max="1" width="12.6640625" style="13" customWidth="1"/>
    <col min="2" max="2" width="6.33203125" style="17" customWidth="1"/>
    <col min="3" max="3" width="15.6640625" style="18" customWidth="1"/>
    <col min="4" max="4" width="13.5" style="14" customWidth="1"/>
    <col min="5" max="5" width="7.6640625" style="28" customWidth="1"/>
  </cols>
  <sheetData>
    <row r="1" spans="1:5" x14ac:dyDescent="0.2">
      <c r="A1" s="13" t="s">
        <v>35</v>
      </c>
    </row>
    <row r="2" spans="1:5" x14ac:dyDescent="0.2">
      <c r="A2" s="27"/>
      <c r="D2" s="23"/>
    </row>
    <row r="3" spans="1:5" x14ac:dyDescent="0.2">
      <c r="C3" s="18" t="s">
        <v>290</v>
      </c>
    </row>
    <row r="4" spans="1:5" x14ac:dyDescent="0.2">
      <c r="A4" s="13" t="s">
        <v>164</v>
      </c>
      <c r="B4" s="17" t="s">
        <v>10</v>
      </c>
      <c r="C4" s="13"/>
      <c r="D4" s="14" t="s">
        <v>164</v>
      </c>
      <c r="E4" s="28" t="s">
        <v>167</v>
      </c>
    </row>
    <row r="5" spans="1:5" x14ac:dyDescent="0.2">
      <c r="A5" s="13" t="s">
        <v>15</v>
      </c>
      <c r="B5" s="17">
        <v>675</v>
      </c>
      <c r="C5" s="13"/>
      <c r="D5" s="13">
        <v>146210041</v>
      </c>
      <c r="E5" s="28">
        <v>321</v>
      </c>
    </row>
    <row r="6" spans="1:5" x14ac:dyDescent="0.2">
      <c r="A6" s="13" t="s">
        <v>16</v>
      </c>
      <c r="B6" s="17">
        <v>267</v>
      </c>
      <c r="C6" s="13"/>
      <c r="D6" s="13">
        <v>146230003</v>
      </c>
      <c r="E6" s="28">
        <v>620</v>
      </c>
    </row>
    <row r="7" spans="1:5" x14ac:dyDescent="0.2">
      <c r="A7" s="13" t="s">
        <v>17</v>
      </c>
      <c r="B7" s="17">
        <v>1328</v>
      </c>
      <c r="C7" s="13"/>
      <c r="D7" s="13">
        <v>146230024</v>
      </c>
      <c r="E7" s="28">
        <v>222</v>
      </c>
    </row>
    <row r="8" spans="1:5" x14ac:dyDescent="0.2">
      <c r="A8" s="13" t="s">
        <v>18</v>
      </c>
      <c r="B8" s="17">
        <v>76</v>
      </c>
      <c r="C8" s="13"/>
      <c r="D8" s="13">
        <v>146280003</v>
      </c>
      <c r="E8" s="28">
        <v>355</v>
      </c>
    </row>
    <row r="9" spans="1:5" x14ac:dyDescent="0.2">
      <c r="A9" s="13" t="s">
        <v>19</v>
      </c>
      <c r="B9" s="17">
        <v>1099</v>
      </c>
      <c r="C9" s="13"/>
      <c r="D9" s="14" t="s">
        <v>26</v>
      </c>
      <c r="E9" s="28">
        <v>76</v>
      </c>
    </row>
    <row r="10" spans="1:5" x14ac:dyDescent="0.2">
      <c r="A10" s="13" t="s">
        <v>20</v>
      </c>
      <c r="B10" s="17">
        <v>768</v>
      </c>
      <c r="C10" s="13"/>
      <c r="D10" s="14" t="s">
        <v>27</v>
      </c>
      <c r="E10" s="28">
        <v>275</v>
      </c>
    </row>
    <row r="11" spans="1:5" x14ac:dyDescent="0.2">
      <c r="A11" s="13">
        <v>172230007</v>
      </c>
      <c r="B11" s="17">
        <v>778</v>
      </c>
      <c r="C11" s="13"/>
      <c r="D11" s="14" t="s">
        <v>28</v>
      </c>
      <c r="E11" s="28">
        <v>1243</v>
      </c>
    </row>
    <row r="12" spans="1:5" x14ac:dyDescent="0.2">
      <c r="A12" s="13">
        <v>172240035</v>
      </c>
      <c r="B12" s="17">
        <v>1289</v>
      </c>
      <c r="C12" s="13"/>
      <c r="D12" s="14">
        <v>171120006</v>
      </c>
      <c r="E12" s="28">
        <v>190</v>
      </c>
    </row>
    <row r="13" spans="1:5" x14ac:dyDescent="0.2">
      <c r="A13" s="13" t="s">
        <v>21</v>
      </c>
      <c r="B13" s="17">
        <v>999</v>
      </c>
      <c r="C13" s="13"/>
      <c r="D13" s="13" t="s">
        <v>271</v>
      </c>
      <c r="E13" s="28">
        <v>677</v>
      </c>
    </row>
    <row r="14" spans="1:5" x14ac:dyDescent="0.2">
      <c r="A14" s="13" t="s">
        <v>22</v>
      </c>
      <c r="B14" s="17">
        <v>1344</v>
      </c>
      <c r="C14" s="13"/>
      <c r="D14" s="14" t="s">
        <v>29</v>
      </c>
      <c r="E14" s="28">
        <v>779</v>
      </c>
    </row>
    <row r="15" spans="1:5" x14ac:dyDescent="0.2">
      <c r="A15" s="13">
        <v>191290025</v>
      </c>
      <c r="B15" s="17">
        <v>1459</v>
      </c>
      <c r="C15" s="13"/>
      <c r="D15" s="14" t="s">
        <v>273</v>
      </c>
      <c r="E15" s="28">
        <v>483</v>
      </c>
    </row>
    <row r="16" spans="1:5" x14ac:dyDescent="0.2">
      <c r="A16" s="13">
        <v>192250020</v>
      </c>
      <c r="B16" s="17">
        <v>501</v>
      </c>
      <c r="C16" s="13"/>
      <c r="D16" s="14" t="s">
        <v>30</v>
      </c>
      <c r="E16" s="28">
        <v>440</v>
      </c>
    </row>
    <row r="17" spans="1:5" x14ac:dyDescent="0.2">
      <c r="A17" s="13">
        <v>192250038</v>
      </c>
      <c r="B17" s="17">
        <v>1547</v>
      </c>
      <c r="C17" s="13"/>
      <c r="D17" s="14" t="s">
        <v>31</v>
      </c>
      <c r="E17" s="28">
        <v>148</v>
      </c>
    </row>
    <row r="18" spans="1:5" x14ac:dyDescent="0.2">
      <c r="A18" s="13">
        <v>193020012</v>
      </c>
      <c r="B18" s="17">
        <v>1367</v>
      </c>
      <c r="C18" s="13"/>
      <c r="D18" s="13">
        <v>191120017</v>
      </c>
      <c r="E18" s="28">
        <v>921</v>
      </c>
    </row>
    <row r="19" spans="1:5" x14ac:dyDescent="0.2">
      <c r="A19" s="13">
        <v>193020020</v>
      </c>
      <c r="B19" s="17">
        <v>752</v>
      </c>
      <c r="C19" s="13"/>
      <c r="D19" s="14">
        <v>192160002</v>
      </c>
      <c r="E19" s="28">
        <v>30</v>
      </c>
    </row>
    <row r="20" spans="1:5" x14ac:dyDescent="0.2">
      <c r="A20" s="13">
        <v>198130073</v>
      </c>
      <c r="B20" s="17">
        <v>1267</v>
      </c>
      <c r="C20" s="13"/>
      <c r="D20" s="13">
        <v>192200044</v>
      </c>
      <c r="E20" s="28">
        <v>61</v>
      </c>
    </row>
    <row r="21" spans="1:5" x14ac:dyDescent="0.2">
      <c r="A21" s="13">
        <v>201160009</v>
      </c>
      <c r="B21" s="17">
        <v>901</v>
      </c>
      <c r="C21" s="13"/>
      <c r="D21" s="14">
        <v>193030013</v>
      </c>
      <c r="E21" s="28">
        <v>141</v>
      </c>
    </row>
    <row r="22" spans="1:5" x14ac:dyDescent="0.2">
      <c r="A22" s="13">
        <v>201160021</v>
      </c>
      <c r="B22" s="17">
        <v>1029</v>
      </c>
      <c r="C22" s="13"/>
      <c r="D22" s="14">
        <v>198160034</v>
      </c>
      <c r="E22" s="28">
        <v>1143</v>
      </c>
    </row>
    <row r="23" spans="1:5" x14ac:dyDescent="0.2">
      <c r="A23" s="13">
        <v>201160027</v>
      </c>
      <c r="B23" s="17">
        <v>700</v>
      </c>
      <c r="C23" s="13"/>
      <c r="D23" s="14" t="s">
        <v>32</v>
      </c>
      <c r="E23" s="28">
        <v>336</v>
      </c>
    </row>
    <row r="24" spans="1:5" x14ac:dyDescent="0.2">
      <c r="A24" s="13">
        <v>201160044</v>
      </c>
      <c r="B24" s="17">
        <v>1329</v>
      </c>
      <c r="C24" s="13"/>
      <c r="D24" s="14">
        <v>201130004</v>
      </c>
      <c r="E24" s="28">
        <v>435</v>
      </c>
    </row>
    <row r="25" spans="1:5" x14ac:dyDescent="0.2">
      <c r="A25" s="13">
        <v>201290019</v>
      </c>
      <c r="B25" s="17">
        <v>129</v>
      </c>
      <c r="C25" s="13"/>
      <c r="D25" s="14">
        <v>201130031</v>
      </c>
      <c r="E25" s="28">
        <v>381</v>
      </c>
    </row>
    <row r="26" spans="1:5" x14ac:dyDescent="0.2">
      <c r="A26" s="13">
        <v>209230013</v>
      </c>
      <c r="B26" s="17">
        <v>928</v>
      </c>
      <c r="C26" s="13"/>
      <c r="D26" s="14">
        <v>201270007</v>
      </c>
      <c r="E26" s="28">
        <v>786</v>
      </c>
    </row>
    <row r="27" spans="1:5" x14ac:dyDescent="0.2">
      <c r="A27" s="13">
        <v>209230030</v>
      </c>
      <c r="B27" s="17">
        <v>1479</v>
      </c>
      <c r="C27" s="13"/>
      <c r="D27" s="14">
        <v>201270034</v>
      </c>
      <c r="E27" s="28">
        <v>569</v>
      </c>
    </row>
    <row r="28" spans="1:5" x14ac:dyDescent="0.2">
      <c r="A28" s="13" t="s">
        <v>23</v>
      </c>
      <c r="B28" s="17">
        <v>2001</v>
      </c>
      <c r="C28" s="13"/>
      <c r="D28" s="14">
        <v>209240024</v>
      </c>
      <c r="E28" s="28">
        <v>1024</v>
      </c>
    </row>
    <row r="29" spans="1:5" x14ac:dyDescent="0.2">
      <c r="A29" s="13" t="s">
        <v>24</v>
      </c>
      <c r="B29" s="17">
        <v>1332</v>
      </c>
      <c r="C29" s="13"/>
      <c r="D29" s="14">
        <v>217120034</v>
      </c>
      <c r="E29" s="28">
        <v>264</v>
      </c>
    </row>
    <row r="30" spans="1:5" x14ac:dyDescent="0.2">
      <c r="A30" s="13">
        <v>221060025</v>
      </c>
      <c r="B30" s="17">
        <v>1211</v>
      </c>
      <c r="C30" s="13"/>
      <c r="D30" s="13" t="s">
        <v>33</v>
      </c>
      <c r="E30" s="28">
        <v>1430</v>
      </c>
    </row>
    <row r="31" spans="1:5" x14ac:dyDescent="0.2">
      <c r="A31" s="13">
        <v>251200006</v>
      </c>
      <c r="B31" s="17">
        <v>108</v>
      </c>
      <c r="C31" s="13"/>
      <c r="D31" s="13" t="s">
        <v>34</v>
      </c>
      <c r="E31" s="28">
        <v>839</v>
      </c>
    </row>
    <row r="32" spans="1:5" x14ac:dyDescent="0.2">
      <c r="A32" s="13">
        <v>251270020</v>
      </c>
      <c r="B32" s="17">
        <v>743</v>
      </c>
      <c r="C32" s="13"/>
      <c r="D32" s="13" t="s">
        <v>163</v>
      </c>
      <c r="E32" s="28">
        <v>583</v>
      </c>
    </row>
    <row r="33" spans="1:5" x14ac:dyDescent="0.2">
      <c r="A33" s="13">
        <v>252120005</v>
      </c>
      <c r="B33" s="17">
        <v>461</v>
      </c>
      <c r="C33" s="13"/>
      <c r="D33" s="13">
        <v>251090017</v>
      </c>
      <c r="E33" s="28">
        <v>243</v>
      </c>
    </row>
    <row r="34" spans="1:5" x14ac:dyDescent="0.2">
      <c r="A34" s="13">
        <v>252120021</v>
      </c>
      <c r="B34" s="17">
        <v>285</v>
      </c>
      <c r="C34" s="13"/>
      <c r="D34" s="13">
        <v>251160011</v>
      </c>
      <c r="E34" s="28">
        <v>168</v>
      </c>
    </row>
    <row r="35" spans="1:5" x14ac:dyDescent="0.2">
      <c r="A35" s="13">
        <v>252190013</v>
      </c>
      <c r="B35" s="17">
        <v>688</v>
      </c>
      <c r="C35" s="13"/>
      <c r="D35" s="13">
        <v>251160026</v>
      </c>
      <c r="E35" s="28">
        <v>271</v>
      </c>
    </row>
    <row r="36" spans="1:5" x14ac:dyDescent="0.2">
      <c r="A36" s="13">
        <v>253200010</v>
      </c>
      <c r="B36" s="17">
        <v>252</v>
      </c>
      <c r="C36" s="13"/>
      <c r="D36" s="13">
        <v>251160044</v>
      </c>
      <c r="E36" s="28">
        <v>413</v>
      </c>
    </row>
    <row r="37" spans="1:5" x14ac:dyDescent="0.2">
      <c r="A37" s="13">
        <v>253200037</v>
      </c>
      <c r="B37" s="17">
        <v>1031</v>
      </c>
      <c r="C37" s="13"/>
      <c r="D37" s="13">
        <v>252250003</v>
      </c>
      <c r="E37" s="28">
        <v>206</v>
      </c>
    </row>
    <row r="38" spans="1:5" x14ac:dyDescent="0.2">
      <c r="C38" s="13"/>
      <c r="D38" s="13">
        <v>253190028</v>
      </c>
      <c r="E38" s="28">
        <v>81</v>
      </c>
    </row>
    <row r="39" spans="1:5" x14ac:dyDescent="0.2">
      <c r="D39" s="13">
        <v>254020031</v>
      </c>
      <c r="E39" s="28">
        <v>215</v>
      </c>
    </row>
    <row r="44" spans="1:5" x14ac:dyDescent="0.2">
      <c r="A44" s="13" t="s">
        <v>0</v>
      </c>
      <c r="B44" s="17">
        <f>COUNT(B5:B41)</f>
        <v>33</v>
      </c>
      <c r="D44" s="14" t="s">
        <v>0</v>
      </c>
      <c r="E44" s="28">
        <f>COUNT(E5:E41)</f>
        <v>35</v>
      </c>
    </row>
    <row r="45" spans="1:5" x14ac:dyDescent="0.2">
      <c r="A45" s="13" t="s">
        <v>1</v>
      </c>
      <c r="B45" s="17">
        <f>AVERAGE(B5:B41)</f>
        <v>912.81818181818187</v>
      </c>
      <c r="D45" s="14" t="s">
        <v>1</v>
      </c>
      <c r="E45" s="28">
        <f>AVERAGE(E5:E41)</f>
        <v>467.68571428571431</v>
      </c>
    </row>
    <row r="46" spans="1:5" x14ac:dyDescent="0.2">
      <c r="A46" s="13" t="s">
        <v>2</v>
      </c>
      <c r="B46" s="17">
        <f>STDEV(B5:B41)</f>
        <v>480.063632145876</v>
      </c>
      <c r="D46" s="14" t="s">
        <v>2</v>
      </c>
      <c r="E46" s="28">
        <f>STDEV(E5:E41)</f>
        <v>359.13431629803512</v>
      </c>
    </row>
    <row r="47" spans="1:5" x14ac:dyDescent="0.2">
      <c r="A47" s="13" t="s">
        <v>3</v>
      </c>
      <c r="B47" s="17">
        <f>B46/SQRT(B44)</f>
        <v>83.568351793532486</v>
      </c>
      <c r="D47" s="14" t="s">
        <v>3</v>
      </c>
      <c r="E47" s="28">
        <f>E46/SQRT(E44)</f>
        <v>60.704779087660242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12B3-2356-45C4-A148-432601651B05}">
  <dimension ref="A1:H38"/>
  <sheetViews>
    <sheetView workbookViewId="0">
      <selection activeCell="D31" sqref="D31"/>
    </sheetView>
  </sheetViews>
  <sheetFormatPr baseColWidth="10" defaultColWidth="8.83203125" defaultRowHeight="19" x14ac:dyDescent="0.25"/>
  <cols>
    <col min="1" max="1" width="18.1640625" style="51" customWidth="1"/>
    <col min="2" max="2" width="18.5" style="47" customWidth="1"/>
    <col min="3" max="3" width="9.1640625" style="46"/>
    <col min="4" max="4" width="16.6640625" style="51" customWidth="1"/>
    <col min="5" max="5" width="14.1640625" style="46" customWidth="1"/>
    <col min="6" max="6" width="9.1640625" style="50"/>
    <col min="8" max="8" width="14.6640625" customWidth="1"/>
  </cols>
  <sheetData>
    <row r="1" spans="1:8" x14ac:dyDescent="0.25">
      <c r="A1" s="51" t="s">
        <v>35</v>
      </c>
    </row>
    <row r="2" spans="1:8" x14ac:dyDescent="0.25">
      <c r="A2" s="54"/>
      <c r="B2" s="49" t="s">
        <v>168</v>
      </c>
      <c r="D2" s="54"/>
    </row>
    <row r="3" spans="1:8" x14ac:dyDescent="0.25">
      <c r="A3" s="54"/>
      <c r="D3" s="54"/>
      <c r="E3" s="49"/>
    </row>
    <row r="4" spans="1:8" x14ac:dyDescent="0.25">
      <c r="A4" s="48"/>
      <c r="D4" s="48"/>
    </row>
    <row r="5" spans="1:8" x14ac:dyDescent="0.25">
      <c r="A5" s="48"/>
      <c r="D5" s="48"/>
    </row>
    <row r="7" spans="1:8" x14ac:dyDescent="0.25">
      <c r="B7" s="49" t="s">
        <v>165</v>
      </c>
      <c r="E7" s="49" t="s">
        <v>165</v>
      </c>
    </row>
    <row r="8" spans="1:8" x14ac:dyDescent="0.25">
      <c r="A8" s="51" t="s">
        <v>164</v>
      </c>
      <c r="B8" s="47" t="s">
        <v>10</v>
      </c>
      <c r="D8" s="51" t="s">
        <v>164</v>
      </c>
      <c r="E8" s="47" t="s">
        <v>167</v>
      </c>
    </row>
    <row r="9" spans="1:8" x14ac:dyDescent="0.25">
      <c r="A9" s="51" t="s">
        <v>15</v>
      </c>
      <c r="B9" s="47">
        <v>-3.68</v>
      </c>
      <c r="D9" s="51">
        <v>146210003</v>
      </c>
      <c r="E9" s="52">
        <v>1.4433504343032799</v>
      </c>
      <c r="H9" s="37"/>
    </row>
    <row r="10" spans="1:8" x14ac:dyDescent="0.25">
      <c r="A10" s="51" t="s">
        <v>16</v>
      </c>
      <c r="B10" s="47">
        <v>-11.88</v>
      </c>
      <c r="D10" s="51">
        <v>146280003</v>
      </c>
      <c r="E10" s="52">
        <v>2.3221077919006299</v>
      </c>
      <c r="H10" s="67"/>
    </row>
    <row r="11" spans="1:8" x14ac:dyDescent="0.25">
      <c r="A11" s="51" t="s">
        <v>18</v>
      </c>
      <c r="B11" s="47">
        <v>-11.49</v>
      </c>
      <c r="D11" s="51" t="s">
        <v>26</v>
      </c>
      <c r="E11" s="52">
        <v>3.2404877245425998E-2</v>
      </c>
      <c r="H11" s="7"/>
    </row>
    <row r="12" spans="1:8" x14ac:dyDescent="0.25">
      <c r="A12" s="51" t="s">
        <v>85</v>
      </c>
      <c r="B12" s="47">
        <v>-2.25</v>
      </c>
      <c r="D12" s="51" t="s">
        <v>82</v>
      </c>
      <c r="E12" s="52">
        <v>1.43309879302978</v>
      </c>
      <c r="H12" s="37"/>
    </row>
    <row r="13" spans="1:8" x14ac:dyDescent="0.25">
      <c r="A13" s="51" t="s">
        <v>86</v>
      </c>
      <c r="B13" s="47">
        <v>-5.64</v>
      </c>
      <c r="D13" s="51" t="s">
        <v>27</v>
      </c>
      <c r="E13" s="52">
        <v>0.866399645805359</v>
      </c>
      <c r="H13" s="7"/>
    </row>
    <row r="14" spans="1:8" x14ac:dyDescent="0.25">
      <c r="A14" s="51">
        <v>171130005</v>
      </c>
      <c r="B14" s="47">
        <v>-3.26</v>
      </c>
      <c r="D14" s="51">
        <v>171120006</v>
      </c>
      <c r="E14" s="52">
        <v>3.4406684339045999E-2</v>
      </c>
      <c r="H14" s="7"/>
    </row>
    <row r="15" spans="1:8" x14ac:dyDescent="0.25">
      <c r="A15" s="51">
        <v>172240035</v>
      </c>
      <c r="B15" s="47">
        <v>-12.36</v>
      </c>
      <c r="D15" s="51">
        <v>171230014</v>
      </c>
      <c r="E15" s="52">
        <v>-6.7832798957824698</v>
      </c>
      <c r="H15" s="7"/>
    </row>
    <row r="16" spans="1:8" x14ac:dyDescent="0.25">
      <c r="A16" s="51" t="s">
        <v>22</v>
      </c>
      <c r="B16" s="47">
        <v>-8.64</v>
      </c>
      <c r="D16" s="51" t="s">
        <v>29</v>
      </c>
      <c r="E16" s="52">
        <v>-8.8144454956054599</v>
      </c>
      <c r="H16" s="7"/>
    </row>
    <row r="17" spans="1:8" x14ac:dyDescent="0.25">
      <c r="A17" s="51">
        <v>192210033</v>
      </c>
      <c r="B17" s="47">
        <v>-5.46</v>
      </c>
      <c r="D17" s="51">
        <v>192200009</v>
      </c>
      <c r="E17" s="52">
        <v>-6.4717464447021396</v>
      </c>
      <c r="H17" s="37"/>
    </row>
    <row r="18" spans="1:8" x14ac:dyDescent="0.25">
      <c r="A18" s="51">
        <v>192210041</v>
      </c>
      <c r="B18" s="47">
        <v>-26.32</v>
      </c>
      <c r="D18" s="51">
        <v>192200017</v>
      </c>
      <c r="E18" s="52">
        <v>-7.8247919082641602</v>
      </c>
      <c r="H18" s="5"/>
    </row>
    <row r="19" spans="1:8" x14ac:dyDescent="0.25">
      <c r="A19" s="51">
        <v>192250020</v>
      </c>
      <c r="B19" s="47">
        <v>-5.95</v>
      </c>
      <c r="D19" s="51">
        <v>192200044</v>
      </c>
      <c r="E19" s="52">
        <v>-10.5373373031616</v>
      </c>
      <c r="H19" s="7"/>
    </row>
    <row r="20" spans="1:8" x14ac:dyDescent="0.25">
      <c r="A20" s="51">
        <v>193020012</v>
      </c>
      <c r="B20" s="47">
        <v>-10.76</v>
      </c>
      <c r="D20" s="51">
        <v>193030013</v>
      </c>
      <c r="E20" s="52">
        <v>-6.6136240959167401</v>
      </c>
      <c r="H20" s="7"/>
    </row>
    <row r="21" spans="1:8" x14ac:dyDescent="0.25">
      <c r="A21" s="51">
        <v>193020020</v>
      </c>
      <c r="B21" s="47">
        <v>-4.22</v>
      </c>
      <c r="D21" s="51" t="s">
        <v>32</v>
      </c>
      <c r="E21" s="52">
        <v>-2.9036185741424498</v>
      </c>
      <c r="H21" s="7"/>
    </row>
    <row r="22" spans="1:8" x14ac:dyDescent="0.25">
      <c r="A22" s="51">
        <v>201160009</v>
      </c>
      <c r="B22" s="47">
        <v>-7.19</v>
      </c>
      <c r="D22" s="51">
        <v>201130031</v>
      </c>
      <c r="E22" s="52">
        <v>-8.2575130462646396</v>
      </c>
      <c r="H22" s="7"/>
    </row>
    <row r="23" spans="1:8" x14ac:dyDescent="0.25">
      <c r="A23" s="51">
        <v>201160027</v>
      </c>
      <c r="B23" s="47">
        <v>-6.7</v>
      </c>
      <c r="D23" s="51">
        <v>201270007</v>
      </c>
      <c r="E23" s="52">
        <v>-4.5812454223632804</v>
      </c>
      <c r="H23" s="37"/>
    </row>
    <row r="24" spans="1:8" x14ac:dyDescent="0.25">
      <c r="A24" s="51">
        <v>201290019</v>
      </c>
      <c r="B24" s="47">
        <v>-12.01</v>
      </c>
      <c r="D24" s="51">
        <v>217120003</v>
      </c>
      <c r="E24" s="52">
        <v>-8.3140192031860298</v>
      </c>
      <c r="H24" s="5"/>
    </row>
    <row r="25" spans="1:8" x14ac:dyDescent="0.25">
      <c r="A25" s="51">
        <v>209230013</v>
      </c>
      <c r="B25" s="47">
        <v>-10.81</v>
      </c>
      <c r="D25" s="51" t="s">
        <v>166</v>
      </c>
      <c r="E25" s="52">
        <v>-8.5231475830078107</v>
      </c>
      <c r="H25" s="5"/>
    </row>
    <row r="26" spans="1:8" x14ac:dyDescent="0.25">
      <c r="A26" s="51">
        <v>221060025</v>
      </c>
      <c r="B26" s="47">
        <v>-9.23</v>
      </c>
      <c r="D26" s="51">
        <v>251090018</v>
      </c>
      <c r="E26" s="52">
        <v>-10.021156311035099</v>
      </c>
      <c r="H26" s="5"/>
    </row>
    <row r="27" spans="1:8" x14ac:dyDescent="0.25">
      <c r="A27" s="51">
        <v>251200006</v>
      </c>
      <c r="B27" s="47">
        <v>-6.09</v>
      </c>
      <c r="D27" s="51">
        <v>251160011</v>
      </c>
      <c r="E27" s="52">
        <v>-10.187624931335399</v>
      </c>
      <c r="H27" s="5"/>
    </row>
    <row r="28" spans="1:8" x14ac:dyDescent="0.25">
      <c r="A28" s="51">
        <v>253200010</v>
      </c>
      <c r="B28" s="47">
        <v>-5.01</v>
      </c>
      <c r="D28" s="51">
        <v>251160026</v>
      </c>
      <c r="E28" s="52">
        <v>-10.254965782165501</v>
      </c>
      <c r="H28" s="5"/>
    </row>
    <row r="29" spans="1:8" x14ac:dyDescent="0.25">
      <c r="A29" s="51">
        <v>253200037</v>
      </c>
      <c r="B29" s="47">
        <v>-8.98</v>
      </c>
      <c r="D29" s="51">
        <v>251160044</v>
      </c>
      <c r="E29" s="52">
        <v>-16.8639621734619</v>
      </c>
      <c r="H29" s="5"/>
    </row>
    <row r="30" spans="1:8" x14ac:dyDescent="0.25">
      <c r="D30" s="51">
        <v>252250003</v>
      </c>
      <c r="E30" s="52">
        <v>-7.2225785255432102</v>
      </c>
      <c r="H30" s="7"/>
    </row>
    <row r="31" spans="1:8" x14ac:dyDescent="0.25">
      <c r="D31" s="51">
        <v>254020031</v>
      </c>
      <c r="E31" s="52">
        <v>-7.0560526847839302</v>
      </c>
      <c r="H31" s="7"/>
    </row>
    <row r="32" spans="1:8" x14ac:dyDescent="0.25">
      <c r="D32" s="5"/>
      <c r="H32" s="7"/>
    </row>
    <row r="34" spans="1:5" x14ac:dyDescent="0.25">
      <c r="A34" s="51" t="s">
        <v>0</v>
      </c>
      <c r="B34" s="57">
        <f>COUNT(B9:B33)</f>
        <v>21</v>
      </c>
      <c r="D34" s="51" t="s">
        <v>0</v>
      </c>
      <c r="E34" s="58">
        <f>COUNT(E9:E33)</f>
        <v>23</v>
      </c>
    </row>
    <row r="35" spans="1:5" x14ac:dyDescent="0.25">
      <c r="A35" s="51" t="s">
        <v>1</v>
      </c>
      <c r="B35" s="59">
        <f>AVERAGE(B9:B33)</f>
        <v>-8.4728571428571424</v>
      </c>
      <c r="D35" s="51" t="s">
        <v>1</v>
      </c>
      <c r="E35" s="53">
        <f>AVERAGE(E9:E33)</f>
        <v>-5.8738843980042734</v>
      </c>
    </row>
    <row r="36" spans="1:5" x14ac:dyDescent="0.25">
      <c r="A36" s="51" t="s">
        <v>2</v>
      </c>
      <c r="B36" s="59">
        <f>STDEV(B9:B33)</f>
        <v>5.1540597036289197</v>
      </c>
      <c r="D36" s="51" t="s">
        <v>2</v>
      </c>
      <c r="E36" s="53">
        <f>STDEV(E9:E33)</f>
        <v>4.9240251714611292</v>
      </c>
    </row>
    <row r="37" spans="1:5" x14ac:dyDescent="0.25">
      <c r="A37" s="51" t="s">
        <v>3</v>
      </c>
      <c r="B37" s="59">
        <f t="shared" ref="B37" si="0">B36/SQRT(B34)</f>
        <v>1.124708034676247</v>
      </c>
      <c r="D37" s="51" t="s">
        <v>3</v>
      </c>
      <c r="E37" s="53">
        <f t="shared" ref="E37" si="1">E36/SQRT(E34)</f>
        <v>1.0267302234295046</v>
      </c>
    </row>
    <row r="38" spans="1:5" x14ac:dyDescent="0.25">
      <c r="A38" s="51" t="s">
        <v>267</v>
      </c>
      <c r="B38" s="47">
        <v>16</v>
      </c>
      <c r="D38" s="51" t="s">
        <v>267</v>
      </c>
      <c r="E38" s="46">
        <v>15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CD10-2FC8-4D74-89DA-4626AE3C06F4}">
  <dimension ref="A1:F41"/>
  <sheetViews>
    <sheetView topLeftCell="A5" workbookViewId="0">
      <selection activeCell="Q35" sqref="Q35"/>
    </sheetView>
  </sheetViews>
  <sheetFormatPr baseColWidth="10" defaultColWidth="8.83203125" defaultRowHeight="15" x14ac:dyDescent="0.2"/>
  <cols>
    <col min="1" max="1" width="13.6640625" customWidth="1"/>
    <col min="2" max="2" width="13.5" customWidth="1"/>
    <col min="3" max="3" width="20.1640625" customWidth="1"/>
    <col min="4" max="4" width="14" customWidth="1"/>
    <col min="5" max="5" width="14.6640625" customWidth="1"/>
  </cols>
  <sheetData>
    <row r="1" spans="1:6" ht="19" x14ac:dyDescent="0.25">
      <c r="A1" s="51" t="s">
        <v>35</v>
      </c>
      <c r="B1" s="47"/>
      <c r="C1" s="46"/>
      <c r="D1" s="51"/>
      <c r="E1" s="46"/>
      <c r="F1" s="50"/>
    </row>
    <row r="2" spans="1:6" ht="19" x14ac:dyDescent="0.25">
      <c r="A2" s="54"/>
      <c r="B2" s="49" t="s">
        <v>168</v>
      </c>
      <c r="C2" s="46"/>
      <c r="D2" s="54"/>
      <c r="E2" s="46"/>
      <c r="F2" s="50"/>
    </row>
    <row r="3" spans="1:6" ht="19" x14ac:dyDescent="0.25">
      <c r="A3" s="54"/>
      <c r="B3" s="47"/>
      <c r="C3" s="46"/>
      <c r="D3" s="54"/>
      <c r="E3" s="49"/>
      <c r="F3" s="50"/>
    </row>
    <row r="4" spans="1:6" ht="19" x14ac:dyDescent="0.25">
      <c r="A4" s="48"/>
      <c r="B4" s="47"/>
      <c r="C4" s="46"/>
      <c r="D4" s="48"/>
      <c r="E4" s="46"/>
      <c r="F4" s="50"/>
    </row>
    <row r="5" spans="1:6" ht="19" x14ac:dyDescent="0.25">
      <c r="A5" s="48"/>
      <c r="B5" s="47"/>
      <c r="C5" s="46"/>
      <c r="D5" s="48"/>
      <c r="E5" s="46"/>
      <c r="F5" s="50"/>
    </row>
    <row r="6" spans="1:6" ht="19" x14ac:dyDescent="0.25">
      <c r="A6" s="51"/>
      <c r="B6" s="47"/>
      <c r="C6" s="46"/>
      <c r="D6" s="51"/>
      <c r="E6" s="46"/>
      <c r="F6" s="50"/>
    </row>
    <row r="7" spans="1:6" ht="19" x14ac:dyDescent="0.25">
      <c r="A7" s="49" t="s">
        <v>277</v>
      </c>
      <c r="C7" s="46"/>
      <c r="D7" s="49" t="s">
        <v>278</v>
      </c>
      <c r="F7" s="50"/>
    </row>
    <row r="8" spans="1:6" ht="19" x14ac:dyDescent="0.25">
      <c r="A8" s="51" t="s">
        <v>164</v>
      </c>
      <c r="B8" s="47" t="s">
        <v>10</v>
      </c>
      <c r="C8" s="46"/>
      <c r="D8" s="51" t="s">
        <v>164</v>
      </c>
      <c r="E8" s="47" t="s">
        <v>167</v>
      </c>
      <c r="F8" s="50"/>
    </row>
    <row r="9" spans="1:6" ht="18" x14ac:dyDescent="0.2">
      <c r="A9" s="5" t="s">
        <v>15</v>
      </c>
      <c r="B9" s="73">
        <v>-1589.12463378906</v>
      </c>
      <c r="D9" s="51">
        <v>146210003</v>
      </c>
      <c r="E9" s="55">
        <v>-2686.716796875</v>
      </c>
    </row>
    <row r="10" spans="1:6" ht="18" x14ac:dyDescent="0.2">
      <c r="A10" s="5" t="s">
        <v>16</v>
      </c>
      <c r="B10" s="73">
        <v>-3856.24243164062</v>
      </c>
      <c r="D10" s="51">
        <v>146280003</v>
      </c>
      <c r="E10" s="55">
        <v>-1491.27807617187</v>
      </c>
    </row>
    <row r="11" spans="1:6" ht="18" x14ac:dyDescent="0.2">
      <c r="A11" s="5" t="s">
        <v>18</v>
      </c>
      <c r="B11" s="73">
        <v>-2883.23193359375</v>
      </c>
      <c r="D11" s="51" t="s">
        <v>26</v>
      </c>
      <c r="E11" s="55">
        <v>-3132.78930664062</v>
      </c>
    </row>
    <row r="12" spans="1:6" ht="18" x14ac:dyDescent="0.2">
      <c r="A12" s="5" t="s">
        <v>85</v>
      </c>
      <c r="B12" s="73">
        <v>-865.83984375</v>
      </c>
      <c r="D12" s="51" t="s">
        <v>82</v>
      </c>
      <c r="E12" s="55">
        <v>-2703.75830078125</v>
      </c>
    </row>
    <row r="13" spans="1:6" ht="18" x14ac:dyDescent="0.2">
      <c r="A13" s="5" t="s">
        <v>86</v>
      </c>
      <c r="B13" s="73">
        <v>-3056.04858398437</v>
      </c>
      <c r="D13" s="51" t="s">
        <v>27</v>
      </c>
      <c r="E13" s="55">
        <v>-2841.23828125</v>
      </c>
    </row>
    <row r="14" spans="1:6" ht="18" x14ac:dyDescent="0.2">
      <c r="A14" s="5">
        <v>171130005</v>
      </c>
      <c r="B14" s="73">
        <v>-1404.46057128906</v>
      </c>
      <c r="D14" s="51">
        <v>171120006</v>
      </c>
      <c r="E14" s="55">
        <v>-1798.07885742187</v>
      </c>
    </row>
    <row r="15" spans="1:6" ht="18" x14ac:dyDescent="0.2">
      <c r="A15" s="5">
        <v>172240035</v>
      </c>
      <c r="B15" s="73">
        <v>-3669.38818359375</v>
      </c>
      <c r="D15" s="51">
        <v>171230014</v>
      </c>
      <c r="E15" s="55">
        <v>-1790.68798828125</v>
      </c>
    </row>
    <row r="16" spans="1:6" ht="18" x14ac:dyDescent="0.2">
      <c r="A16" s="5" t="s">
        <v>22</v>
      </c>
      <c r="B16" s="73">
        <v>-2650.33862304687</v>
      </c>
      <c r="D16" s="51" t="s">
        <v>29</v>
      </c>
      <c r="E16" s="55">
        <v>-2857.62353515625</v>
      </c>
    </row>
    <row r="17" spans="1:5" ht="18" x14ac:dyDescent="0.2">
      <c r="A17" s="5">
        <v>192210033</v>
      </c>
      <c r="B17" s="73">
        <v>-1535.87084960937</v>
      </c>
      <c r="D17" s="51">
        <v>192200009</v>
      </c>
      <c r="E17" s="55">
        <v>-2090.4873046875</v>
      </c>
    </row>
    <row r="18" spans="1:5" ht="18" x14ac:dyDescent="0.2">
      <c r="A18" s="5">
        <v>192210041</v>
      </c>
      <c r="B18" s="73">
        <v>-2864.61254882812</v>
      </c>
      <c r="D18" s="51">
        <v>192200017</v>
      </c>
      <c r="E18" s="55">
        <v>-2696.56787109375</v>
      </c>
    </row>
    <row r="19" spans="1:5" ht="18" x14ac:dyDescent="0.2">
      <c r="A19" s="5">
        <v>192250020</v>
      </c>
      <c r="B19" s="73">
        <v>-2448.09106445312</v>
      </c>
      <c r="D19" s="51">
        <v>192200044</v>
      </c>
      <c r="E19" s="55">
        <v>-2755.53393554687</v>
      </c>
    </row>
    <row r="20" spans="1:5" ht="18" x14ac:dyDescent="0.2">
      <c r="A20" s="5">
        <v>193020012</v>
      </c>
      <c r="B20" s="73">
        <v>-3625.86840820312</v>
      </c>
      <c r="D20" s="51">
        <v>193030013</v>
      </c>
      <c r="E20" s="55">
        <v>-1416.22497558593</v>
      </c>
    </row>
    <row r="21" spans="1:5" ht="18" x14ac:dyDescent="0.2">
      <c r="A21" s="5">
        <v>193020020</v>
      </c>
      <c r="B21" s="73">
        <v>-1806.51220703125</v>
      </c>
      <c r="D21" s="51" t="s">
        <v>32</v>
      </c>
      <c r="E21" s="55">
        <v>-1151.01208496093</v>
      </c>
    </row>
    <row r="22" spans="1:5" ht="18" x14ac:dyDescent="0.2">
      <c r="A22" s="5">
        <v>201160009</v>
      </c>
      <c r="B22" s="73">
        <v>-3591.97485351562</v>
      </c>
      <c r="D22" s="51">
        <v>201130031</v>
      </c>
      <c r="E22" s="55">
        <v>-2908.69140625</v>
      </c>
    </row>
    <row r="23" spans="1:5" ht="18" x14ac:dyDescent="0.2">
      <c r="A23" s="5">
        <v>201160027</v>
      </c>
      <c r="B23" s="73">
        <v>-4175.7236328125</v>
      </c>
      <c r="D23" s="51">
        <v>201270007</v>
      </c>
      <c r="E23" s="55">
        <v>-1881.12805175781</v>
      </c>
    </row>
    <row r="24" spans="1:5" ht="18" x14ac:dyDescent="0.2">
      <c r="A24" s="5">
        <v>201290019</v>
      </c>
      <c r="B24" s="73">
        <v>-4025.9892578125</v>
      </c>
      <c r="D24" s="51">
        <v>217120003</v>
      </c>
      <c r="E24" s="55">
        <v>-3103.15649414062</v>
      </c>
    </row>
    <row r="25" spans="1:5" ht="18" x14ac:dyDescent="0.2">
      <c r="A25" s="5">
        <v>209230013</v>
      </c>
      <c r="B25" s="73">
        <v>-3757.01611328125</v>
      </c>
      <c r="D25" s="51" t="s">
        <v>166</v>
      </c>
      <c r="E25" s="55">
        <v>-3364.78979492187</v>
      </c>
    </row>
    <row r="26" spans="1:5" ht="18" x14ac:dyDescent="0.2">
      <c r="A26" s="5">
        <v>221060025</v>
      </c>
      <c r="B26" s="73">
        <v>-2995.85180664062</v>
      </c>
      <c r="D26" s="51">
        <v>251090018</v>
      </c>
      <c r="E26" s="55">
        <v>-2838.4619140625</v>
      </c>
    </row>
    <row r="27" spans="1:5" ht="18" x14ac:dyDescent="0.2">
      <c r="A27" s="5">
        <v>251200006</v>
      </c>
      <c r="B27" s="73">
        <v>-2150.95703125</v>
      </c>
      <c r="D27" s="51">
        <v>251160011</v>
      </c>
      <c r="E27" s="55">
        <v>-2654.79614257812</v>
      </c>
    </row>
    <row r="28" spans="1:5" ht="18" x14ac:dyDescent="0.2">
      <c r="A28" s="5">
        <v>253200010</v>
      </c>
      <c r="B28" s="73">
        <v>-3056.49658203125</v>
      </c>
      <c r="D28" s="51">
        <v>251160026</v>
      </c>
      <c r="E28" s="55">
        <v>-2501.47900390625</v>
      </c>
    </row>
    <row r="29" spans="1:5" ht="18" x14ac:dyDescent="0.2">
      <c r="A29" s="5">
        <v>253200037</v>
      </c>
      <c r="B29" s="73">
        <v>-3274.05200195312</v>
      </c>
      <c r="D29" s="51">
        <v>251160044</v>
      </c>
      <c r="E29" s="55">
        <v>-3528.328125</v>
      </c>
    </row>
    <row r="30" spans="1:5" ht="18" x14ac:dyDescent="0.2">
      <c r="A30" s="5"/>
      <c r="B30" s="73"/>
      <c r="D30" s="51">
        <v>252250003</v>
      </c>
      <c r="E30" s="55">
        <v>-2640.36328125</v>
      </c>
    </row>
    <row r="31" spans="1:5" ht="18" x14ac:dyDescent="0.2">
      <c r="A31" s="5"/>
      <c r="B31" s="73"/>
      <c r="D31" s="51">
        <v>254020031</v>
      </c>
      <c r="E31" s="55">
        <v>-3580.82836914062</v>
      </c>
    </row>
    <row r="32" spans="1:5" x14ac:dyDescent="0.2">
      <c r="A32" s="7"/>
      <c r="B32" s="72"/>
      <c r="D32" s="5"/>
      <c r="E32" s="8"/>
    </row>
    <row r="33" spans="1:5" x14ac:dyDescent="0.2">
      <c r="A33" s="7"/>
      <c r="B33" s="72"/>
      <c r="D33" s="5"/>
      <c r="E33" s="8"/>
    </row>
    <row r="34" spans="1:5" x14ac:dyDescent="0.2">
      <c r="D34" s="5"/>
      <c r="E34" s="8"/>
    </row>
    <row r="35" spans="1:5" ht="18" x14ac:dyDescent="0.2">
      <c r="A35" s="51" t="s">
        <v>0</v>
      </c>
      <c r="B35" s="57">
        <f>COUNT(B9:B34)</f>
        <v>21</v>
      </c>
      <c r="D35" s="51" t="s">
        <v>0</v>
      </c>
      <c r="E35" s="58">
        <f>COUNT(E9:E34)</f>
        <v>23</v>
      </c>
    </row>
    <row r="36" spans="1:5" ht="18" x14ac:dyDescent="0.2">
      <c r="A36" s="51" t="s">
        <v>1</v>
      </c>
      <c r="B36" s="59">
        <f>AVERAGE(B9:B34)</f>
        <v>-2823.0329124813966</v>
      </c>
      <c r="D36" s="51" t="s">
        <v>1</v>
      </c>
      <c r="E36" s="53">
        <f>AVERAGE(E9:E34)</f>
        <v>-2539.7399955417773</v>
      </c>
    </row>
    <row r="37" spans="1:5" ht="18" x14ac:dyDescent="0.2">
      <c r="A37" s="51" t="s">
        <v>2</v>
      </c>
      <c r="B37" s="59">
        <f>STDEV(B9:B34)</f>
        <v>953.78111979588516</v>
      </c>
      <c r="C37" s="46"/>
      <c r="D37" s="51" t="s">
        <v>2</v>
      </c>
      <c r="E37" s="53">
        <f>STDEV(E9:E34)</f>
        <v>674.52642909791052</v>
      </c>
    </row>
    <row r="38" spans="1:5" ht="18" x14ac:dyDescent="0.2">
      <c r="A38" s="51" t="s">
        <v>3</v>
      </c>
      <c r="B38" s="59">
        <f t="shared" ref="B38" si="0">B37/SQRT(B35)</f>
        <v>208.13210370878036</v>
      </c>
      <c r="C38" s="46"/>
      <c r="D38" s="51" t="s">
        <v>3</v>
      </c>
      <c r="E38" s="53">
        <f t="shared" ref="E38" si="1">E37/SQRT(E35)</f>
        <v>140.64848312936181</v>
      </c>
    </row>
    <row r="39" spans="1:5" ht="18" x14ac:dyDescent="0.2">
      <c r="A39" s="51" t="s">
        <v>267</v>
      </c>
      <c r="B39" s="47">
        <v>16</v>
      </c>
      <c r="C39" s="46"/>
      <c r="D39" s="51" t="s">
        <v>267</v>
      </c>
      <c r="E39" s="46">
        <v>15</v>
      </c>
    </row>
    <row r="40" spans="1:5" ht="18" x14ac:dyDescent="0.2">
      <c r="C40" s="46"/>
    </row>
    <row r="41" spans="1:5" ht="18" x14ac:dyDescent="0.2">
      <c r="C41" s="46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0CEA-C8FE-A841-AD2F-DE9473A00670}">
  <dimension ref="A1:T55"/>
  <sheetViews>
    <sheetView workbookViewId="0">
      <selection activeCell="G22" sqref="G22"/>
    </sheetView>
  </sheetViews>
  <sheetFormatPr baseColWidth="10" defaultRowHeight="15" x14ac:dyDescent="0.2"/>
  <sheetData>
    <row r="1" spans="1:20" x14ac:dyDescent="0.2">
      <c r="A1" s="106" t="s">
        <v>441</v>
      </c>
    </row>
    <row r="2" spans="1:20" x14ac:dyDescent="0.2">
      <c r="B2" t="s">
        <v>442</v>
      </c>
      <c r="C2" t="s">
        <v>443</v>
      </c>
      <c r="D2" t="s">
        <v>444</v>
      </c>
      <c r="E2" t="s">
        <v>445</v>
      </c>
      <c r="F2" t="s">
        <v>446</v>
      </c>
      <c r="G2" t="s">
        <v>447</v>
      </c>
      <c r="H2" t="s">
        <v>448</v>
      </c>
      <c r="I2" t="s">
        <v>449</v>
      </c>
      <c r="J2" t="s">
        <v>450</v>
      </c>
      <c r="M2" t="s">
        <v>451</v>
      </c>
      <c r="N2" t="s">
        <v>452</v>
      </c>
      <c r="O2" t="s">
        <v>453</v>
      </c>
      <c r="P2" t="s">
        <v>454</v>
      </c>
      <c r="Q2" t="s">
        <v>455</v>
      </c>
      <c r="R2" t="s">
        <v>456</v>
      </c>
      <c r="S2" t="s">
        <v>457</v>
      </c>
      <c r="T2" t="s">
        <v>458</v>
      </c>
    </row>
    <row r="3" spans="1:20" x14ac:dyDescent="0.2">
      <c r="A3" t="s">
        <v>459</v>
      </c>
      <c r="B3">
        <v>3.3356094360351562</v>
      </c>
      <c r="C3">
        <v>2.5770721435546875</v>
      </c>
      <c r="D3">
        <v>3.4949226379394531</v>
      </c>
      <c r="E3">
        <v>3.2913436889648438</v>
      </c>
      <c r="F3">
        <v>3.4916114807128906</v>
      </c>
      <c r="G3">
        <v>3.3779029846191406</v>
      </c>
      <c r="H3">
        <v>3.4225006103515625</v>
      </c>
      <c r="I3">
        <v>2.8732109069824219</v>
      </c>
      <c r="J3">
        <v>4.2183284759521484</v>
      </c>
      <c r="M3">
        <v>1.9562797546386719</v>
      </c>
      <c r="N3">
        <v>2.8931522369384766</v>
      </c>
      <c r="O3">
        <v>2.7638874053955078</v>
      </c>
      <c r="P3">
        <v>2.7804241180419922</v>
      </c>
      <c r="Q3">
        <v>3.7413272857666016</v>
      </c>
      <c r="R3">
        <v>2.7357978820800781</v>
      </c>
      <c r="S3">
        <v>2.9140605926513672</v>
      </c>
      <c r="T3">
        <v>3.9316577911376953</v>
      </c>
    </row>
    <row r="4" spans="1:20" x14ac:dyDescent="0.2">
      <c r="A4" t="s">
        <v>460</v>
      </c>
      <c r="B4">
        <v>1.0047877821134548</v>
      </c>
      <c r="C4">
        <v>1.6998743605453073</v>
      </c>
      <c r="D4">
        <v>0.89973847646635852</v>
      </c>
      <c r="E4">
        <v>1.0360952035297788</v>
      </c>
      <c r="F4">
        <v>0.90180585513786937</v>
      </c>
      <c r="G4">
        <v>0.9757593439258494</v>
      </c>
      <c r="H4">
        <v>0.94605741880979755</v>
      </c>
      <c r="I4">
        <v>1.3844273574899946</v>
      </c>
      <c r="J4">
        <v>0.54494094030270057</v>
      </c>
      <c r="M4">
        <v>2.6139300023502199</v>
      </c>
      <c r="N4">
        <v>1.3654230634492255</v>
      </c>
      <c r="O4">
        <v>1.4934126508233536</v>
      </c>
      <c r="P4">
        <v>1.4763923269012558</v>
      </c>
      <c r="Q4">
        <v>0.7584747072428315</v>
      </c>
      <c r="R4">
        <v>1.5227745680849871</v>
      </c>
      <c r="S4">
        <v>1.3457772798911376</v>
      </c>
      <c r="T4">
        <v>0.66473096793440201</v>
      </c>
    </row>
    <row r="5" spans="1:20" x14ac:dyDescent="0.2">
      <c r="A5" t="s">
        <v>461</v>
      </c>
      <c r="B5">
        <v>1.0437207487023457</v>
      </c>
      <c r="M5">
        <v>1.4051144458346767</v>
      </c>
    </row>
    <row r="6" spans="1:20" x14ac:dyDescent="0.2">
      <c r="A6" t="s">
        <v>2</v>
      </c>
      <c r="B6">
        <v>0.32634364326168358</v>
      </c>
      <c r="L6" t="s">
        <v>2</v>
      </c>
      <c r="M6">
        <v>0.59273735623644841</v>
      </c>
    </row>
    <row r="7" spans="1:20" x14ac:dyDescent="0.2">
      <c r="A7" t="s">
        <v>3</v>
      </c>
      <c r="B7">
        <v>0.108781214420561</v>
      </c>
      <c r="L7" t="s">
        <v>3</v>
      </c>
      <c r="M7">
        <v>0.20956430202868948</v>
      </c>
    </row>
    <row r="9" spans="1:20" x14ac:dyDescent="0.2">
      <c r="A9" s="106" t="s">
        <v>462</v>
      </c>
    </row>
    <row r="10" spans="1:20" x14ac:dyDescent="0.2">
      <c r="B10" t="s">
        <v>442</v>
      </c>
      <c r="C10" t="s">
        <v>443</v>
      </c>
      <c r="D10" t="s">
        <v>444</v>
      </c>
      <c r="E10" t="s">
        <v>445</v>
      </c>
      <c r="F10" t="s">
        <v>446</v>
      </c>
      <c r="G10" t="s">
        <v>447</v>
      </c>
      <c r="H10" t="s">
        <v>448</v>
      </c>
      <c r="I10" t="s">
        <v>449</v>
      </c>
      <c r="J10" t="s">
        <v>450</v>
      </c>
      <c r="M10" t="s">
        <v>451</v>
      </c>
      <c r="N10" t="s">
        <v>452</v>
      </c>
      <c r="O10" t="s">
        <v>453</v>
      </c>
      <c r="P10" t="s">
        <v>454</v>
      </c>
      <c r="Q10" t="s">
        <v>455</v>
      </c>
      <c r="R10" t="s">
        <v>456</v>
      </c>
      <c r="S10" t="s">
        <v>457</v>
      </c>
      <c r="T10" t="s">
        <v>458</v>
      </c>
    </row>
    <row r="11" spans="1:20" x14ac:dyDescent="0.2">
      <c r="A11" t="s">
        <v>459</v>
      </c>
      <c r="B11">
        <v>4.7306518554687678</v>
      </c>
      <c r="C11">
        <v>3.7299060821533203</v>
      </c>
      <c r="D11">
        <v>3.6456260681152344</v>
      </c>
      <c r="E11">
        <v>3.2798519134521484</v>
      </c>
      <c r="F11">
        <v>3.68328857421875</v>
      </c>
      <c r="G11">
        <v>3.8071880340576172</v>
      </c>
      <c r="H11">
        <v>3.1832962036132812</v>
      </c>
      <c r="I11">
        <v>4.196807861328125</v>
      </c>
      <c r="J11">
        <v>4.4603919982910156</v>
      </c>
      <c r="L11" t="s">
        <v>459</v>
      </c>
      <c r="M11">
        <v>1.9440727233886719</v>
      </c>
      <c r="N11">
        <v>3.6970252990722656</v>
      </c>
      <c r="O11">
        <v>3.0349559783935547</v>
      </c>
      <c r="P11">
        <v>3.3165988922119141</v>
      </c>
      <c r="Q11">
        <v>3.785064697265625</v>
      </c>
      <c r="R11">
        <v>4.9880466461181641</v>
      </c>
      <c r="S11">
        <v>4.3038253784179688</v>
      </c>
      <c r="T11">
        <v>4.4624881744384766</v>
      </c>
    </row>
    <row r="12" spans="1:20" x14ac:dyDescent="0.2">
      <c r="A12" t="s">
        <v>460</v>
      </c>
      <c r="B12">
        <v>0.54593214180393501</v>
      </c>
      <c r="C12">
        <v>1.0924288476522335</v>
      </c>
      <c r="D12">
        <v>1.158147761908364</v>
      </c>
      <c r="E12">
        <v>1.4923578158643871</v>
      </c>
      <c r="F12">
        <v>1.1283047804896089</v>
      </c>
      <c r="G12">
        <v>1.0354496230481083</v>
      </c>
      <c r="H12">
        <v>1.5956554847422677</v>
      </c>
      <c r="I12">
        <v>0.79039051413030126</v>
      </c>
      <c r="J12">
        <v>0.65840783123345625</v>
      </c>
      <c r="L12" t="s">
        <v>460</v>
      </c>
      <c r="M12">
        <v>3.7668867910228516</v>
      </c>
      <c r="N12">
        <v>1.1176125294684105</v>
      </c>
      <c r="O12">
        <v>1.7684548918827852</v>
      </c>
      <c r="P12">
        <v>1.4548258915124634</v>
      </c>
      <c r="Q12">
        <v>1.051450331625613</v>
      </c>
      <c r="R12">
        <v>0.45672534389521502</v>
      </c>
      <c r="S12">
        <v>0.73388200148166161</v>
      </c>
      <c r="T12">
        <v>0.65745188656378262</v>
      </c>
    </row>
    <row r="13" spans="1:20" x14ac:dyDescent="0.2">
      <c r="A13" t="s">
        <v>461</v>
      </c>
      <c r="B13">
        <v>1.0552305334302958</v>
      </c>
      <c r="L13" t="s">
        <v>461</v>
      </c>
      <c r="M13">
        <v>1.3759112084315979</v>
      </c>
    </row>
    <row r="14" spans="1:20" x14ac:dyDescent="0.2">
      <c r="A14" t="s">
        <v>2</v>
      </c>
      <c r="B14">
        <v>0.35139712827173508</v>
      </c>
      <c r="L14" t="s">
        <v>2</v>
      </c>
      <c r="M14">
        <v>1.057109490789566</v>
      </c>
    </row>
    <row r="15" spans="1:20" x14ac:dyDescent="0.2">
      <c r="A15" t="s">
        <v>3</v>
      </c>
      <c r="B15">
        <v>0.11713237609057836</v>
      </c>
      <c r="L15" t="s">
        <v>3</v>
      </c>
      <c r="M15">
        <v>0.3737446446969801</v>
      </c>
    </row>
    <row r="17" spans="1:20" x14ac:dyDescent="0.2">
      <c r="A17" s="106" t="s">
        <v>463</v>
      </c>
    </row>
    <row r="18" spans="1:20" x14ac:dyDescent="0.2">
      <c r="B18" t="s">
        <v>442</v>
      </c>
      <c r="C18" t="s">
        <v>443</v>
      </c>
      <c r="D18" t="s">
        <v>444</v>
      </c>
      <c r="E18" t="s">
        <v>445</v>
      </c>
      <c r="F18" t="s">
        <v>446</v>
      </c>
      <c r="G18" t="s">
        <v>447</v>
      </c>
      <c r="H18" t="s">
        <v>448</v>
      </c>
      <c r="I18" t="s">
        <v>449</v>
      </c>
      <c r="J18" t="s">
        <v>450</v>
      </c>
      <c r="M18" t="s">
        <v>451</v>
      </c>
      <c r="N18" t="s">
        <v>452</v>
      </c>
      <c r="O18" t="s">
        <v>453</v>
      </c>
      <c r="P18" t="s">
        <v>454</v>
      </c>
      <c r="Q18" t="s">
        <v>455</v>
      </c>
      <c r="R18" t="s">
        <v>456</v>
      </c>
      <c r="S18" t="s">
        <v>457</v>
      </c>
      <c r="T18" t="s">
        <v>458</v>
      </c>
    </row>
    <row r="19" spans="1:20" x14ac:dyDescent="0.2">
      <c r="A19" t="s">
        <v>459</v>
      </c>
      <c r="B19">
        <v>7.1734943389892578</v>
      </c>
      <c r="C19">
        <v>8.2994747161865234</v>
      </c>
      <c r="D19">
        <v>7.6800308227539062</v>
      </c>
      <c r="E19">
        <v>7.914520263671875</v>
      </c>
      <c r="F19">
        <v>8.73138427734375</v>
      </c>
      <c r="G19">
        <v>8.1140041351318359</v>
      </c>
      <c r="H19">
        <v>9.1877918243408203</v>
      </c>
      <c r="I19">
        <v>8.6893234252929688</v>
      </c>
      <c r="J19">
        <v>9.2107372283935547</v>
      </c>
      <c r="L19" t="s">
        <v>459</v>
      </c>
      <c r="M19">
        <v>6.4913177490234375</v>
      </c>
      <c r="N19">
        <v>6.3786430358886719</v>
      </c>
      <c r="O19">
        <v>6.87860107421875</v>
      </c>
      <c r="P19">
        <v>6.1183986663818359</v>
      </c>
      <c r="Q19">
        <v>9.0375862121582031</v>
      </c>
      <c r="R19">
        <v>6.950714111328125</v>
      </c>
      <c r="S19">
        <v>6.7726287841796875</v>
      </c>
      <c r="T19">
        <v>7.9462623596191406</v>
      </c>
    </row>
    <row r="20" spans="1:20" x14ac:dyDescent="0.2">
      <c r="A20" t="s">
        <v>460</v>
      </c>
      <c r="B20">
        <v>2.2344558720978984</v>
      </c>
      <c r="C20">
        <v>1.0238065747512015</v>
      </c>
      <c r="D20">
        <v>1.5728565192179833</v>
      </c>
      <c r="E20">
        <v>1.3369056274625286</v>
      </c>
      <c r="F20">
        <v>0.75892730945453346</v>
      </c>
      <c r="G20">
        <v>1.1639231982966998</v>
      </c>
      <c r="H20">
        <v>0.55294510887654946</v>
      </c>
      <c r="I20">
        <v>0.7811527406812544</v>
      </c>
      <c r="J20">
        <v>0.54422033577317297</v>
      </c>
      <c r="L20" t="s">
        <v>460</v>
      </c>
      <c r="M20">
        <v>3.5853156612361907</v>
      </c>
      <c r="N20">
        <v>3.8765542550296632</v>
      </c>
      <c r="O20">
        <v>2.7412175302023285</v>
      </c>
      <c r="P20">
        <v>4.6428775304260119</v>
      </c>
      <c r="Q20">
        <v>0.61361845890591515</v>
      </c>
      <c r="R20">
        <v>2.6068108208091672</v>
      </c>
      <c r="S20">
        <v>2.9492972123639301</v>
      </c>
      <c r="T20">
        <v>1.3074335651148223</v>
      </c>
    </row>
    <row r="21" spans="1:20" x14ac:dyDescent="0.2">
      <c r="A21" t="s">
        <v>461</v>
      </c>
      <c r="B21">
        <v>1.1076881429568692</v>
      </c>
      <c r="L21" t="s">
        <v>461</v>
      </c>
      <c r="M21">
        <v>2.7903906292610037</v>
      </c>
    </row>
    <row r="22" spans="1:20" x14ac:dyDescent="0.2">
      <c r="A22" t="s">
        <v>2</v>
      </c>
      <c r="B22">
        <v>0.54797600077026987</v>
      </c>
      <c r="L22" t="s">
        <v>2</v>
      </c>
      <c r="M22">
        <v>1.3224562928246577</v>
      </c>
    </row>
    <row r="23" spans="1:20" x14ac:dyDescent="0.2">
      <c r="A23" t="s">
        <v>3</v>
      </c>
      <c r="B23">
        <v>0.18265866692342328</v>
      </c>
      <c r="L23" t="s">
        <v>3</v>
      </c>
      <c r="M23">
        <v>0.46755890623956897</v>
      </c>
    </row>
    <row r="25" spans="1:20" x14ac:dyDescent="0.2">
      <c r="A25" s="106" t="s">
        <v>464</v>
      </c>
    </row>
    <row r="26" spans="1:20" x14ac:dyDescent="0.2">
      <c r="B26" t="s">
        <v>442</v>
      </c>
      <c r="C26" t="s">
        <v>443</v>
      </c>
      <c r="D26" t="s">
        <v>444</v>
      </c>
      <c r="E26" t="s">
        <v>445</v>
      </c>
      <c r="F26" t="s">
        <v>446</v>
      </c>
      <c r="G26" t="s">
        <v>447</v>
      </c>
      <c r="H26" t="s">
        <v>448</v>
      </c>
      <c r="I26" t="s">
        <v>449</v>
      </c>
      <c r="J26" t="s">
        <v>450</v>
      </c>
      <c r="M26" t="s">
        <v>451</v>
      </c>
      <c r="N26" t="s">
        <v>452</v>
      </c>
      <c r="O26" t="s">
        <v>453</v>
      </c>
      <c r="P26" t="s">
        <v>454</v>
      </c>
      <c r="Q26" t="s">
        <v>455</v>
      </c>
      <c r="R26" t="s">
        <v>456</v>
      </c>
      <c r="S26" t="s">
        <v>457</v>
      </c>
      <c r="T26" t="s">
        <v>458</v>
      </c>
    </row>
    <row r="27" spans="1:20" x14ac:dyDescent="0.2">
      <c r="A27" t="s">
        <v>459</v>
      </c>
      <c r="B27">
        <v>16.374763488769531</v>
      </c>
      <c r="C27">
        <v>15.886436462402344</v>
      </c>
      <c r="D27">
        <v>15.744340896606445</v>
      </c>
      <c r="E27">
        <v>15.60264778137207</v>
      </c>
      <c r="F27">
        <v>17.210290908813477</v>
      </c>
      <c r="G27">
        <v>15.08922004699707</v>
      </c>
      <c r="H27">
        <v>16.017000198364258</v>
      </c>
      <c r="I27" t="s">
        <v>468</v>
      </c>
      <c r="J27">
        <v>16.302850723266602</v>
      </c>
      <c r="L27" t="s">
        <v>459</v>
      </c>
      <c r="M27">
        <v>13.248043060302734</v>
      </c>
      <c r="N27">
        <v>14.684896469116211</v>
      </c>
      <c r="O27">
        <v>13.864984512329102</v>
      </c>
      <c r="P27">
        <v>14.093502044677734</v>
      </c>
      <c r="Q27">
        <v>15.216314315795898</v>
      </c>
      <c r="R27">
        <v>15.421035766601562</v>
      </c>
      <c r="S27">
        <v>14.936410903930664</v>
      </c>
      <c r="T27">
        <v>16.917612075805664</v>
      </c>
    </row>
    <row r="28" spans="1:20" x14ac:dyDescent="0.2">
      <c r="A28" t="s">
        <v>460</v>
      </c>
      <c r="B28">
        <v>0.7865881321652024</v>
      </c>
      <c r="C28">
        <v>1.1034393623497807</v>
      </c>
      <c r="D28">
        <v>1.2176528785772993</v>
      </c>
      <c r="E28">
        <v>1.3433134947981205</v>
      </c>
      <c r="F28">
        <v>0.44078679341192983</v>
      </c>
      <c r="G28">
        <v>1.9174962633428438</v>
      </c>
      <c r="H28">
        <v>1.0079636519692916</v>
      </c>
      <c r="I28" t="s">
        <v>468</v>
      </c>
      <c r="J28">
        <v>0.82679014065202516</v>
      </c>
      <c r="L28" t="s">
        <v>460</v>
      </c>
      <c r="M28">
        <v>6.8704317006559004</v>
      </c>
      <c r="N28">
        <v>2.5377454115085505</v>
      </c>
      <c r="O28">
        <v>4.4798775557195505</v>
      </c>
      <c r="P28">
        <v>3.8236269345937237</v>
      </c>
      <c r="Q28">
        <v>1.7558011903470847</v>
      </c>
      <c r="R28">
        <v>1.5235195856194461</v>
      </c>
      <c r="S28">
        <v>2.1317420988636679</v>
      </c>
      <c r="T28">
        <v>0.53992530439689246</v>
      </c>
    </row>
    <row r="29" spans="1:20" x14ac:dyDescent="0.2">
      <c r="A29" t="s">
        <v>461</v>
      </c>
      <c r="B29">
        <v>1.0805038396583118</v>
      </c>
      <c r="L29" t="s">
        <v>461</v>
      </c>
      <c r="M29">
        <v>2.9578337227131022</v>
      </c>
    </row>
    <row r="30" spans="1:20" x14ac:dyDescent="0.2">
      <c r="A30" t="s">
        <v>2</v>
      </c>
      <c r="B30">
        <v>0.43984058662206965</v>
      </c>
      <c r="L30" t="s">
        <v>2</v>
      </c>
      <c r="M30">
        <v>2.0206774035539898</v>
      </c>
    </row>
    <row r="31" spans="1:20" x14ac:dyDescent="0.2">
      <c r="A31" t="s">
        <v>3</v>
      </c>
      <c r="B31">
        <v>0.15550713072076724</v>
      </c>
      <c r="L31" t="s">
        <v>3</v>
      </c>
      <c r="M31">
        <v>0.71441734732172602</v>
      </c>
    </row>
    <row r="33" spans="1:20" x14ac:dyDescent="0.2">
      <c r="A33" s="106" t="s">
        <v>465</v>
      </c>
    </row>
    <row r="34" spans="1:20" x14ac:dyDescent="0.2">
      <c r="B34" t="s">
        <v>442</v>
      </c>
      <c r="C34" t="s">
        <v>443</v>
      </c>
      <c r="D34" t="s">
        <v>444</v>
      </c>
      <c r="E34" t="s">
        <v>445</v>
      </c>
      <c r="F34" t="s">
        <v>446</v>
      </c>
      <c r="G34" t="s">
        <v>447</v>
      </c>
      <c r="H34" t="s">
        <v>448</v>
      </c>
      <c r="I34" t="s">
        <v>449</v>
      </c>
      <c r="J34" t="s">
        <v>450</v>
      </c>
      <c r="M34" t="s">
        <v>451</v>
      </c>
      <c r="N34" t="s">
        <v>452</v>
      </c>
      <c r="O34" t="s">
        <v>453</v>
      </c>
      <c r="P34" t="s">
        <v>454</v>
      </c>
      <c r="Q34" t="s">
        <v>455</v>
      </c>
      <c r="R34" t="s">
        <v>456</v>
      </c>
      <c r="S34" t="s">
        <v>457</v>
      </c>
      <c r="T34" t="s">
        <v>458</v>
      </c>
    </row>
    <row r="35" spans="1:20" x14ac:dyDescent="0.2">
      <c r="A35" t="s">
        <v>459</v>
      </c>
      <c r="B35">
        <v>5.5826129913330078</v>
      </c>
      <c r="C35">
        <v>6.23846435546875</v>
      </c>
      <c r="D35">
        <v>4.3661231994628906</v>
      </c>
      <c r="E35">
        <v>4.16546630859375</v>
      </c>
      <c r="F35">
        <v>4.6612434387207031</v>
      </c>
      <c r="G35">
        <v>4.3681678771972656</v>
      </c>
      <c r="H35">
        <v>3.7475814819335938</v>
      </c>
      <c r="I35">
        <v>6.3035087585449219</v>
      </c>
      <c r="J35">
        <v>5.1982994079589844</v>
      </c>
      <c r="L35" t="s">
        <v>459</v>
      </c>
      <c r="M35">
        <v>2.8480548858642578</v>
      </c>
      <c r="N35">
        <v>4.6031208038330078</v>
      </c>
      <c r="O35">
        <v>3.894378662109375</v>
      </c>
      <c r="P35">
        <v>4.0034618377685547</v>
      </c>
      <c r="Q35">
        <v>4.3999290466308594</v>
      </c>
      <c r="R35">
        <v>5.2661285400390625</v>
      </c>
      <c r="S35">
        <v>4.4514865875244141</v>
      </c>
      <c r="T35">
        <v>5.0621204376220703</v>
      </c>
    </row>
    <row r="36" spans="1:20" x14ac:dyDescent="0.2">
      <c r="A36" t="s">
        <v>460</v>
      </c>
      <c r="B36">
        <v>0.64906685388598617</v>
      </c>
      <c r="C36">
        <v>0.41196327131909694</v>
      </c>
      <c r="D36">
        <v>1.5083056163910418</v>
      </c>
      <c r="E36">
        <v>1.7333772456157679</v>
      </c>
      <c r="F36">
        <v>1.2292757203142222</v>
      </c>
      <c r="G36">
        <v>1.5061694653424651</v>
      </c>
      <c r="H36">
        <v>2.3157355285847592</v>
      </c>
      <c r="I36">
        <v>0.39380223965859046</v>
      </c>
      <c r="J36">
        <v>0.84718712646038841</v>
      </c>
      <c r="L36" t="s">
        <v>460</v>
      </c>
      <c r="M36">
        <v>4.3198975379598084</v>
      </c>
      <c r="N36">
        <v>1.2798113588510205</v>
      </c>
      <c r="O36">
        <v>2.0916961846904014</v>
      </c>
      <c r="P36">
        <v>1.9393727824763554</v>
      </c>
      <c r="Q36">
        <v>1.4733732278640479</v>
      </c>
      <c r="R36">
        <v>0.8082779744279418</v>
      </c>
      <c r="S36">
        <v>1.4216490784957549</v>
      </c>
      <c r="T36">
        <v>0.93105063924836817</v>
      </c>
    </row>
    <row r="37" spans="1:20" x14ac:dyDescent="0.2">
      <c r="A37" t="s">
        <v>461</v>
      </c>
      <c r="B37">
        <v>1.1772092297302574</v>
      </c>
      <c r="L37" t="s">
        <v>461</v>
      </c>
      <c r="M37">
        <v>1.7831410980017122</v>
      </c>
    </row>
    <row r="38" spans="1:20" x14ac:dyDescent="0.2">
      <c r="A38" t="s">
        <v>2</v>
      </c>
      <c r="B38">
        <v>0.65319334954895047</v>
      </c>
      <c r="L38" t="s">
        <v>2</v>
      </c>
      <c r="M38">
        <v>1.1155483927440122</v>
      </c>
    </row>
    <row r="39" spans="1:20" x14ac:dyDescent="0.2">
      <c r="A39" t="s">
        <v>3</v>
      </c>
      <c r="B39">
        <v>0.21773111651631682</v>
      </c>
      <c r="L39" t="s">
        <v>3</v>
      </c>
      <c r="M39">
        <v>0.39440591662552249</v>
      </c>
    </row>
    <row r="41" spans="1:20" x14ac:dyDescent="0.2">
      <c r="A41" s="106" t="s">
        <v>466</v>
      </c>
    </row>
    <row r="42" spans="1:20" x14ac:dyDescent="0.2">
      <c r="B42" t="s">
        <v>442</v>
      </c>
      <c r="C42" t="s">
        <v>443</v>
      </c>
      <c r="D42" t="s">
        <v>444</v>
      </c>
      <c r="E42" t="s">
        <v>445</v>
      </c>
      <c r="F42" t="s">
        <v>446</v>
      </c>
      <c r="G42" t="s">
        <v>447</v>
      </c>
      <c r="H42" t="s">
        <v>448</v>
      </c>
      <c r="I42" t="s">
        <v>449</v>
      </c>
      <c r="J42" t="s">
        <v>450</v>
      </c>
      <c r="M42" t="s">
        <v>451</v>
      </c>
      <c r="N42" t="s">
        <v>452</v>
      </c>
      <c r="O42" t="s">
        <v>453</v>
      </c>
      <c r="P42" t="s">
        <v>454</v>
      </c>
      <c r="Q42" t="s">
        <v>455</v>
      </c>
      <c r="R42" t="s">
        <v>456</v>
      </c>
      <c r="S42" t="s">
        <v>457</v>
      </c>
      <c r="T42" t="s">
        <v>458</v>
      </c>
    </row>
    <row r="43" spans="1:20" x14ac:dyDescent="0.2">
      <c r="A43" t="s">
        <v>459</v>
      </c>
      <c r="B43">
        <v>9.7425212860107422</v>
      </c>
      <c r="C43">
        <v>11.976808547973633</v>
      </c>
      <c r="D43">
        <v>12.354959487915039</v>
      </c>
      <c r="E43">
        <v>11.348577499389648</v>
      </c>
      <c r="F43">
        <v>12.176448822021484</v>
      </c>
      <c r="G43">
        <v>11.773757934570312</v>
      </c>
      <c r="H43">
        <v>14.156648635864258</v>
      </c>
      <c r="I43">
        <v>12.526834487915039</v>
      </c>
      <c r="J43">
        <v>13.562347412109375</v>
      </c>
      <c r="L43" t="s">
        <v>459</v>
      </c>
      <c r="M43">
        <v>10.780460357666016</v>
      </c>
      <c r="N43">
        <v>10.514232635498047</v>
      </c>
      <c r="O43">
        <v>12.121328353881836</v>
      </c>
      <c r="P43">
        <v>11.197168350219727</v>
      </c>
      <c r="Q43">
        <v>13.869392395019531</v>
      </c>
      <c r="R43">
        <v>10.158430099487305</v>
      </c>
      <c r="S43">
        <v>10.307125091552734</v>
      </c>
      <c r="T43">
        <v>11.574028015136719</v>
      </c>
    </row>
    <row r="44" spans="1:20" x14ac:dyDescent="0.2">
      <c r="A44" t="s">
        <v>460</v>
      </c>
      <c r="B44">
        <v>5.4164850868352277</v>
      </c>
      <c r="C44">
        <v>1.1511450940583878</v>
      </c>
      <c r="D44">
        <v>0.88571763379371993</v>
      </c>
      <c r="E44">
        <v>1.7792888482015659</v>
      </c>
      <c r="F44">
        <v>1.0023799153555444</v>
      </c>
      <c r="G44">
        <v>1.3251175084337539</v>
      </c>
      <c r="H44">
        <v>0.25405796481444604</v>
      </c>
      <c r="I44">
        <v>0.78624113302679211</v>
      </c>
      <c r="J44">
        <v>0.38356176602074338</v>
      </c>
      <c r="L44" t="s">
        <v>460</v>
      </c>
      <c r="M44">
        <v>2.6379512019605951</v>
      </c>
      <c r="N44">
        <v>3.1725559329550999</v>
      </c>
      <c r="O44">
        <v>1.0414184570808649</v>
      </c>
      <c r="P44">
        <v>1.9761738690191775</v>
      </c>
      <c r="Q44">
        <v>0.31003131309246718</v>
      </c>
      <c r="R44">
        <v>4.0599110953791415</v>
      </c>
      <c r="S44">
        <v>3.6623080417855816</v>
      </c>
      <c r="T44">
        <v>1.5218753718797478</v>
      </c>
    </row>
    <row r="45" spans="1:20" x14ac:dyDescent="0.2">
      <c r="A45" t="s">
        <v>461</v>
      </c>
      <c r="B45">
        <v>1.4426661056155758</v>
      </c>
      <c r="L45" t="s">
        <v>461</v>
      </c>
      <c r="M45">
        <v>2.2977781603940848</v>
      </c>
    </row>
    <row r="46" spans="1:20" x14ac:dyDescent="0.2">
      <c r="A46" t="s">
        <v>2</v>
      </c>
      <c r="B46">
        <v>1.5601595642742101</v>
      </c>
      <c r="L46" t="s">
        <v>2</v>
      </c>
      <c r="M46">
        <v>1.3138297246635566</v>
      </c>
    </row>
    <row r="47" spans="1:20" x14ac:dyDescent="0.2">
      <c r="A47" t="s">
        <v>3</v>
      </c>
      <c r="B47">
        <v>0.52005318809140333</v>
      </c>
      <c r="L47" t="s">
        <v>3</v>
      </c>
      <c r="M47">
        <v>0.46450895381702773</v>
      </c>
    </row>
    <row r="49" spans="1:20" x14ac:dyDescent="0.2">
      <c r="A49" s="106" t="s">
        <v>467</v>
      </c>
    </row>
    <row r="50" spans="1:20" x14ac:dyDescent="0.2">
      <c r="B50" t="s">
        <v>442</v>
      </c>
      <c r="C50" t="s">
        <v>443</v>
      </c>
      <c r="D50" t="s">
        <v>444</v>
      </c>
      <c r="E50" t="s">
        <v>445</v>
      </c>
      <c r="F50" t="s">
        <v>446</v>
      </c>
      <c r="G50" t="s">
        <v>447</v>
      </c>
      <c r="H50" t="s">
        <v>448</v>
      </c>
      <c r="I50" t="s">
        <v>449</v>
      </c>
      <c r="J50" t="s">
        <v>450</v>
      </c>
      <c r="M50" t="s">
        <v>451</v>
      </c>
      <c r="N50" t="s">
        <v>452</v>
      </c>
      <c r="O50" t="s">
        <v>453</v>
      </c>
      <c r="P50" t="s">
        <v>454</v>
      </c>
      <c r="Q50" t="s">
        <v>455</v>
      </c>
      <c r="R50" t="s">
        <v>456</v>
      </c>
      <c r="S50" t="s">
        <v>457</v>
      </c>
      <c r="T50" t="s">
        <v>458</v>
      </c>
    </row>
    <row r="51" spans="1:20" x14ac:dyDescent="0.2">
      <c r="A51" t="s">
        <v>459</v>
      </c>
      <c r="B51">
        <v>8.1328830718994141</v>
      </c>
      <c r="C51">
        <v>8.6982345581054688</v>
      </c>
      <c r="D51">
        <v>8.5970497131347656</v>
      </c>
      <c r="E51">
        <v>6.0236396789550781</v>
      </c>
      <c r="F51">
        <v>11.062320709228516</v>
      </c>
      <c r="G51">
        <v>6.3116378784179688</v>
      </c>
      <c r="H51">
        <v>6.0126075744628906</v>
      </c>
      <c r="I51">
        <v>11.571355819702148</v>
      </c>
      <c r="J51">
        <v>8.4852142333984375</v>
      </c>
      <c r="L51" t="s">
        <v>459</v>
      </c>
      <c r="M51">
        <v>5.2417545318603516</v>
      </c>
      <c r="N51">
        <v>6.8766937255859375</v>
      </c>
      <c r="O51">
        <v>5.7977504730224609</v>
      </c>
      <c r="P51">
        <v>7.6532535552978516</v>
      </c>
      <c r="Q51">
        <v>6.7490615844726562</v>
      </c>
      <c r="R51">
        <v>9.3973236083984375</v>
      </c>
      <c r="S51">
        <v>6.4300422668457031</v>
      </c>
      <c r="T51">
        <v>6.9763107299804688</v>
      </c>
    </row>
    <row r="52" spans="1:20" x14ac:dyDescent="0.2">
      <c r="A52" t="s">
        <v>460</v>
      </c>
      <c r="B52">
        <v>1.1397973059426438</v>
      </c>
      <c r="C52">
        <v>0.77026447899468586</v>
      </c>
      <c r="D52">
        <v>0.82622730646889264</v>
      </c>
      <c r="E52">
        <v>4.9178259645666351</v>
      </c>
      <c r="F52">
        <v>0.14961634009869271</v>
      </c>
      <c r="G52">
        <v>4.0278849656152005</v>
      </c>
      <c r="H52">
        <v>4.9555761021330627</v>
      </c>
      <c r="I52">
        <v>0.10513424246122942</v>
      </c>
      <c r="J52">
        <v>0.89282301751254711</v>
      </c>
      <c r="L52" t="s">
        <v>460</v>
      </c>
      <c r="M52">
        <v>8.4555923662722421</v>
      </c>
      <c r="N52">
        <v>2.7225652662259257</v>
      </c>
      <c r="O52">
        <v>5.7513868782198019</v>
      </c>
      <c r="P52">
        <v>1.589316885159612</v>
      </c>
      <c r="Q52">
        <v>2.974400205876599</v>
      </c>
      <c r="R52">
        <v>0.47445289059327533</v>
      </c>
      <c r="S52">
        <v>3.7105115371885593</v>
      </c>
      <c r="T52">
        <v>2.5409176687914861</v>
      </c>
    </row>
    <row r="53" spans="1:20" x14ac:dyDescent="0.2">
      <c r="A53" t="s">
        <v>461</v>
      </c>
      <c r="B53">
        <v>1.9761277470881768</v>
      </c>
      <c r="L53" t="s">
        <v>461</v>
      </c>
      <c r="M53">
        <v>3.5273929622909379</v>
      </c>
    </row>
    <row r="54" spans="1:20" x14ac:dyDescent="0.2">
      <c r="A54" t="s">
        <v>2</v>
      </c>
      <c r="B54">
        <v>2.037969092922947</v>
      </c>
      <c r="L54" t="s">
        <v>2</v>
      </c>
      <c r="M54">
        <v>2.5148159487262043</v>
      </c>
    </row>
    <row r="55" spans="1:20" x14ac:dyDescent="0.2">
      <c r="A55" t="s">
        <v>3</v>
      </c>
      <c r="B55">
        <v>0.67932303097431568</v>
      </c>
      <c r="L55" t="s">
        <v>3</v>
      </c>
      <c r="M55">
        <v>0.88912170539018998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49DC-E553-4384-8B3C-D5EF258431D2}">
  <dimension ref="A1:I62"/>
  <sheetViews>
    <sheetView topLeftCell="A20" workbookViewId="0">
      <selection activeCell="H31" sqref="H31"/>
    </sheetView>
  </sheetViews>
  <sheetFormatPr baseColWidth="10" defaultColWidth="8.83203125" defaultRowHeight="16" x14ac:dyDescent="0.2"/>
  <cols>
    <col min="1" max="1" width="12.5" style="18" customWidth="1"/>
    <col min="2" max="2" width="8.83203125" style="18" customWidth="1"/>
    <col min="3" max="3" width="8.83203125" style="18"/>
    <col min="4" max="4" width="12.5" style="18" customWidth="1"/>
    <col min="5" max="5" width="13" style="28" customWidth="1"/>
    <col min="7" max="7" width="17.5" customWidth="1"/>
    <col min="8" max="8" width="20.5" customWidth="1"/>
    <col min="10" max="10" width="20.5" customWidth="1"/>
  </cols>
  <sheetData>
    <row r="1" spans="1:9" x14ac:dyDescent="0.2">
      <c r="A1" s="19" t="s">
        <v>35</v>
      </c>
    </row>
    <row r="3" spans="1:9" x14ac:dyDescent="0.2">
      <c r="B3" s="18" t="s">
        <v>40</v>
      </c>
    </row>
    <row r="4" spans="1:9" ht="18" x14ac:dyDescent="0.2">
      <c r="A4" s="28" t="s">
        <v>12</v>
      </c>
      <c r="B4" s="17" t="s">
        <v>10</v>
      </c>
      <c r="C4" s="17"/>
      <c r="D4" s="28" t="s">
        <v>12</v>
      </c>
      <c r="E4" s="17" t="s">
        <v>11</v>
      </c>
      <c r="G4" s="46"/>
      <c r="H4" s="46"/>
    </row>
    <row r="5" spans="1:9" x14ac:dyDescent="0.2">
      <c r="A5" s="14">
        <v>132150038</v>
      </c>
      <c r="B5" s="34">
        <v>77.333333333333329</v>
      </c>
      <c r="C5" s="10"/>
      <c r="D5" s="14" t="s">
        <v>25</v>
      </c>
      <c r="E5" s="38">
        <v>19.333333333333332</v>
      </c>
      <c r="F5" s="4"/>
      <c r="G5" s="7"/>
      <c r="H5" s="7"/>
      <c r="I5" s="41"/>
    </row>
    <row r="6" spans="1:9" x14ac:dyDescent="0.2">
      <c r="A6" s="14">
        <v>133130002</v>
      </c>
      <c r="B6" s="34">
        <v>60.666666666666664</v>
      </c>
      <c r="C6" s="10"/>
      <c r="D6" s="14">
        <v>132120002</v>
      </c>
      <c r="E6" s="38">
        <v>22.666666666666668</v>
      </c>
      <c r="F6" s="4"/>
      <c r="G6" s="7"/>
      <c r="H6" s="7"/>
      <c r="I6" s="41"/>
    </row>
    <row r="7" spans="1:9" x14ac:dyDescent="0.2">
      <c r="A7" s="14">
        <v>134010003</v>
      </c>
      <c r="B7" s="34">
        <v>51.333333333333336</v>
      </c>
      <c r="C7" s="10"/>
      <c r="D7" s="14">
        <v>132120018</v>
      </c>
      <c r="E7" s="38">
        <v>5.333333333333333</v>
      </c>
      <c r="F7" s="4"/>
      <c r="G7" s="7"/>
      <c r="H7" s="7"/>
      <c r="I7" s="41"/>
    </row>
    <row r="8" spans="1:9" x14ac:dyDescent="0.2">
      <c r="A8" s="14" t="s">
        <v>15</v>
      </c>
      <c r="B8" s="34">
        <v>31.333333333333332</v>
      </c>
      <c r="C8" s="10"/>
      <c r="D8" s="14">
        <v>133270004</v>
      </c>
      <c r="E8" s="38">
        <v>25.333333333333332</v>
      </c>
      <c r="F8" s="4"/>
      <c r="G8" s="7"/>
      <c r="H8" s="7"/>
      <c r="I8" s="41"/>
    </row>
    <row r="9" spans="1:9" x14ac:dyDescent="0.2">
      <c r="A9" s="14" t="s">
        <v>16</v>
      </c>
      <c r="B9" s="34">
        <v>34</v>
      </c>
      <c r="C9" s="10"/>
      <c r="D9" s="14">
        <v>133150054</v>
      </c>
      <c r="E9" s="38">
        <v>14.666666666666666</v>
      </c>
      <c r="F9" s="4"/>
      <c r="G9" s="7"/>
      <c r="H9" s="7"/>
      <c r="I9" s="41"/>
    </row>
    <row r="10" spans="1:9" x14ac:dyDescent="0.2">
      <c r="A10" s="14" t="s">
        <v>17</v>
      </c>
      <c r="B10" s="34">
        <v>61.333333333333336</v>
      </c>
      <c r="C10" s="10"/>
      <c r="D10" s="13">
        <v>146210041</v>
      </c>
      <c r="E10" s="38">
        <v>59.333333333333336</v>
      </c>
      <c r="F10" s="4"/>
      <c r="G10" s="67"/>
      <c r="H10" s="7"/>
      <c r="I10" s="41"/>
    </row>
    <row r="11" spans="1:9" x14ac:dyDescent="0.2">
      <c r="A11" s="14" t="s">
        <v>18</v>
      </c>
      <c r="B11" s="34">
        <v>10</v>
      </c>
      <c r="C11" s="10"/>
      <c r="D11" s="13">
        <v>146230003</v>
      </c>
      <c r="E11" s="38">
        <v>50</v>
      </c>
      <c r="F11" s="4"/>
      <c r="G11" s="67"/>
      <c r="H11" s="7"/>
      <c r="I11" s="41"/>
    </row>
    <row r="12" spans="1:9" x14ac:dyDescent="0.2">
      <c r="A12" s="14" t="s">
        <v>19</v>
      </c>
      <c r="B12" s="34">
        <v>48</v>
      </c>
      <c r="C12" s="10"/>
      <c r="D12" s="13">
        <v>146230024</v>
      </c>
      <c r="E12" s="38">
        <v>50.666666666666664</v>
      </c>
      <c r="F12" s="4"/>
      <c r="G12" s="67"/>
      <c r="H12" s="7"/>
      <c r="I12" s="41"/>
    </row>
    <row r="13" spans="1:9" x14ac:dyDescent="0.2">
      <c r="A13" s="14" t="s">
        <v>20</v>
      </c>
      <c r="B13" s="34">
        <v>66</v>
      </c>
      <c r="C13" s="10"/>
      <c r="D13" s="13">
        <v>146280003</v>
      </c>
      <c r="E13" s="38">
        <v>35.333333333333336</v>
      </c>
      <c r="F13" s="4"/>
      <c r="G13" s="67"/>
      <c r="H13" s="7"/>
      <c r="I13" s="41"/>
    </row>
    <row r="14" spans="1:9" x14ac:dyDescent="0.2">
      <c r="A14" s="14">
        <v>172230007</v>
      </c>
      <c r="B14" s="34">
        <v>67.333333333333329</v>
      </c>
      <c r="C14" s="10"/>
      <c r="D14" s="14" t="s">
        <v>26</v>
      </c>
      <c r="E14" s="38">
        <v>6.666666666666667</v>
      </c>
      <c r="F14" s="4"/>
      <c r="G14" s="7"/>
      <c r="H14" s="7"/>
      <c r="I14" s="41"/>
    </row>
    <row r="15" spans="1:9" x14ac:dyDescent="0.2">
      <c r="A15" s="14">
        <v>172240035</v>
      </c>
      <c r="B15" s="34">
        <v>65.333333333333329</v>
      </c>
      <c r="C15" s="10"/>
      <c r="D15" s="14" t="s">
        <v>27</v>
      </c>
      <c r="E15" s="38">
        <v>14</v>
      </c>
      <c r="F15" s="4"/>
      <c r="G15" s="7"/>
      <c r="H15" s="7"/>
      <c r="I15" s="41"/>
    </row>
    <row r="16" spans="1:9" x14ac:dyDescent="0.2">
      <c r="A16" s="14" t="s">
        <v>21</v>
      </c>
      <c r="B16" s="34">
        <v>43.333333333333336</v>
      </c>
      <c r="C16" s="10"/>
      <c r="D16" s="14" t="s">
        <v>28</v>
      </c>
      <c r="E16" s="38">
        <v>51.333333333333336</v>
      </c>
      <c r="G16" s="7"/>
      <c r="H16" s="7"/>
      <c r="I16" s="41"/>
    </row>
    <row r="17" spans="1:9" x14ac:dyDescent="0.2">
      <c r="A17" s="14" t="s">
        <v>22</v>
      </c>
      <c r="B17" s="34">
        <v>54</v>
      </c>
      <c r="C17" s="10"/>
      <c r="D17" s="14">
        <v>171120006</v>
      </c>
      <c r="E17" s="38">
        <v>12.666666666666666</v>
      </c>
      <c r="G17" s="7"/>
      <c r="H17" s="7"/>
      <c r="I17" s="41"/>
    </row>
    <row r="18" spans="1:9" x14ac:dyDescent="0.2">
      <c r="A18" s="14">
        <v>191290025</v>
      </c>
      <c r="B18" s="34">
        <v>57.333333333333336</v>
      </c>
      <c r="C18" s="10"/>
      <c r="D18" s="14" t="s">
        <v>271</v>
      </c>
      <c r="E18" s="38">
        <v>29.3</v>
      </c>
      <c r="G18" s="5"/>
      <c r="H18" s="7"/>
      <c r="I18" s="41"/>
    </row>
    <row r="19" spans="1:9" x14ac:dyDescent="0.2">
      <c r="A19" s="14">
        <v>192210033</v>
      </c>
      <c r="B19" s="34">
        <v>3.3333333333333335</v>
      </c>
      <c r="C19" s="10"/>
      <c r="D19" s="14" t="s">
        <v>29</v>
      </c>
      <c r="E19" s="38">
        <v>36.666666666666664</v>
      </c>
      <c r="F19" s="4"/>
      <c r="G19" s="7"/>
      <c r="H19" s="7"/>
      <c r="I19" s="41"/>
    </row>
    <row r="20" spans="1:9" x14ac:dyDescent="0.2">
      <c r="A20" s="14">
        <v>192250020</v>
      </c>
      <c r="B20" s="34">
        <v>28</v>
      </c>
      <c r="C20" s="10"/>
      <c r="D20" s="14" t="s">
        <v>273</v>
      </c>
      <c r="E20" s="38">
        <v>19.3</v>
      </c>
      <c r="F20" s="4"/>
      <c r="G20" s="7"/>
      <c r="H20" s="7"/>
      <c r="I20" s="41"/>
    </row>
    <row r="21" spans="1:9" x14ac:dyDescent="0.2">
      <c r="A21" s="14">
        <v>192250038</v>
      </c>
      <c r="B21" s="34">
        <v>28</v>
      </c>
      <c r="C21" s="10"/>
      <c r="D21" s="14" t="s">
        <v>30</v>
      </c>
      <c r="E21" s="38">
        <v>27.333333333333332</v>
      </c>
      <c r="G21" s="7"/>
      <c r="H21" s="7"/>
      <c r="I21" s="41"/>
    </row>
    <row r="22" spans="1:9" x14ac:dyDescent="0.2">
      <c r="A22" s="14">
        <v>193020012</v>
      </c>
      <c r="B22" s="34">
        <v>66</v>
      </c>
      <c r="C22" s="10"/>
      <c r="D22" s="14" t="s">
        <v>31</v>
      </c>
      <c r="E22" s="38">
        <v>27.333333333333332</v>
      </c>
      <c r="G22" s="7"/>
      <c r="H22" s="7"/>
      <c r="I22" s="41"/>
    </row>
    <row r="23" spans="1:9" x14ac:dyDescent="0.2">
      <c r="A23" s="14">
        <v>193020020</v>
      </c>
      <c r="B23" s="34">
        <v>40.666666666666664</v>
      </c>
      <c r="C23" s="10"/>
      <c r="D23" s="13">
        <v>191120017</v>
      </c>
      <c r="E23" s="38">
        <v>36.666666666666664</v>
      </c>
      <c r="G23" s="5"/>
      <c r="H23" s="7"/>
      <c r="I23" s="41"/>
    </row>
    <row r="24" spans="1:9" x14ac:dyDescent="0.2">
      <c r="A24" s="14">
        <v>198130073</v>
      </c>
      <c r="B24" s="34">
        <v>54.666666666666664</v>
      </c>
      <c r="C24" s="10"/>
      <c r="D24" s="14">
        <v>192160002</v>
      </c>
      <c r="E24" s="38">
        <v>4</v>
      </c>
      <c r="G24" s="5"/>
      <c r="H24" s="7"/>
      <c r="I24" s="41"/>
    </row>
    <row r="25" spans="1:9" x14ac:dyDescent="0.2">
      <c r="A25" s="14">
        <v>201160009</v>
      </c>
      <c r="B25" s="34">
        <v>50</v>
      </c>
      <c r="C25" s="10"/>
      <c r="D25" s="14">
        <v>192200044</v>
      </c>
      <c r="E25" s="38">
        <v>13.3</v>
      </c>
      <c r="G25" s="5"/>
      <c r="H25" s="7"/>
      <c r="I25" s="41"/>
    </row>
    <row r="26" spans="1:9" x14ac:dyDescent="0.2">
      <c r="A26" s="14">
        <v>201160021</v>
      </c>
      <c r="B26" s="34">
        <v>58.666666666666664</v>
      </c>
      <c r="C26" s="10"/>
      <c r="D26" s="14">
        <v>193030013</v>
      </c>
      <c r="E26" s="38">
        <v>12</v>
      </c>
      <c r="G26" s="7"/>
      <c r="H26" s="7"/>
      <c r="I26" s="41"/>
    </row>
    <row r="27" spans="1:9" x14ac:dyDescent="0.2">
      <c r="A27" s="14">
        <v>201160027</v>
      </c>
      <c r="B27" s="34">
        <v>33.333333333333336</v>
      </c>
      <c r="C27" s="10"/>
      <c r="D27" s="14">
        <v>198160034</v>
      </c>
      <c r="E27" s="38">
        <v>44</v>
      </c>
      <c r="G27" s="7"/>
      <c r="H27" s="7"/>
      <c r="I27" s="41"/>
    </row>
    <row r="28" spans="1:9" x14ac:dyDescent="0.2">
      <c r="A28" s="14">
        <v>20116044</v>
      </c>
      <c r="B28" s="34">
        <v>50</v>
      </c>
      <c r="C28" s="10"/>
      <c r="D28" s="14" t="s">
        <v>32</v>
      </c>
      <c r="E28" s="38">
        <v>22</v>
      </c>
      <c r="G28" s="7"/>
      <c r="H28" s="7"/>
      <c r="I28" s="41"/>
    </row>
    <row r="29" spans="1:9" x14ac:dyDescent="0.2">
      <c r="A29" s="14">
        <v>201290019</v>
      </c>
      <c r="B29" s="34">
        <v>6.666666666666667</v>
      </c>
      <c r="C29" s="10"/>
      <c r="D29" s="14">
        <v>201130004</v>
      </c>
      <c r="E29" s="38">
        <v>35.333333333333336</v>
      </c>
      <c r="G29" s="7"/>
      <c r="H29" s="5"/>
      <c r="I29" s="41"/>
    </row>
    <row r="30" spans="1:9" x14ac:dyDescent="0.2">
      <c r="A30" s="14">
        <v>209230013</v>
      </c>
      <c r="B30" s="34">
        <v>53.333333333333336</v>
      </c>
      <c r="C30" s="10"/>
      <c r="D30" s="14">
        <v>201130031</v>
      </c>
      <c r="E30" s="38">
        <v>23.333333333333332</v>
      </c>
      <c r="G30" s="7"/>
      <c r="H30" s="7"/>
      <c r="I30" s="41"/>
    </row>
    <row r="31" spans="1:9" x14ac:dyDescent="0.2">
      <c r="A31" s="14">
        <v>209230030</v>
      </c>
      <c r="B31" s="34">
        <v>56.666666666666664</v>
      </c>
      <c r="C31" s="10"/>
      <c r="D31" s="14">
        <v>201270007</v>
      </c>
      <c r="E31" s="38">
        <v>23.333333333333332</v>
      </c>
      <c r="G31" s="7"/>
      <c r="H31" s="7"/>
      <c r="I31" s="41"/>
    </row>
    <row r="32" spans="1:9" x14ac:dyDescent="0.2">
      <c r="A32" s="14" t="s">
        <v>23</v>
      </c>
      <c r="B32" s="34">
        <v>86</v>
      </c>
      <c r="C32" s="10"/>
      <c r="D32" s="14">
        <v>201270034</v>
      </c>
      <c r="E32" s="38">
        <v>25.333333333333332</v>
      </c>
      <c r="G32" s="7"/>
      <c r="H32" s="7"/>
      <c r="I32" s="41"/>
    </row>
    <row r="33" spans="1:9" x14ac:dyDescent="0.2">
      <c r="A33" s="14" t="s">
        <v>24</v>
      </c>
      <c r="B33" s="34">
        <v>47.333333333333336</v>
      </c>
      <c r="C33" s="10"/>
      <c r="D33" s="14">
        <v>209240024</v>
      </c>
      <c r="E33" s="38">
        <v>44.666666666666664</v>
      </c>
      <c r="G33" s="7"/>
      <c r="H33" s="7"/>
      <c r="I33" s="41"/>
    </row>
    <row r="34" spans="1:9" x14ac:dyDescent="0.2">
      <c r="A34" s="14">
        <v>221060025</v>
      </c>
      <c r="B34" s="34">
        <v>75.333333333333329</v>
      </c>
      <c r="C34" s="10"/>
      <c r="D34" s="14">
        <v>217120034</v>
      </c>
      <c r="E34" s="38">
        <v>8.6666666666666661</v>
      </c>
      <c r="G34" s="7"/>
      <c r="H34" s="7"/>
      <c r="I34" s="41"/>
    </row>
    <row r="35" spans="1:9" x14ac:dyDescent="0.2">
      <c r="A35" s="14">
        <v>251200006</v>
      </c>
      <c r="B35" s="34">
        <v>13.3</v>
      </c>
      <c r="C35" s="10"/>
      <c r="D35" s="13" t="s">
        <v>33</v>
      </c>
      <c r="E35" s="38">
        <v>64</v>
      </c>
      <c r="G35" s="5"/>
      <c r="H35" s="37"/>
      <c r="I35" s="41"/>
    </row>
    <row r="36" spans="1:9" x14ac:dyDescent="0.2">
      <c r="A36" s="14">
        <v>251270020</v>
      </c>
      <c r="B36" s="34">
        <v>42</v>
      </c>
      <c r="C36" s="10"/>
      <c r="D36" s="13" t="s">
        <v>34</v>
      </c>
      <c r="E36" s="29">
        <v>45.333333333333336</v>
      </c>
      <c r="G36" s="5"/>
      <c r="H36" s="7"/>
      <c r="I36" s="41"/>
    </row>
    <row r="37" spans="1:9" x14ac:dyDescent="0.2">
      <c r="A37" s="14">
        <v>252120005</v>
      </c>
      <c r="B37" s="34">
        <v>17.333333333333332</v>
      </c>
      <c r="C37" s="10"/>
      <c r="D37" s="13" t="s">
        <v>163</v>
      </c>
      <c r="E37" s="29">
        <v>32.666666666666664</v>
      </c>
      <c r="G37" s="5"/>
      <c r="H37" s="7"/>
      <c r="I37" s="41"/>
    </row>
    <row r="38" spans="1:9" x14ac:dyDescent="0.2">
      <c r="A38" s="14">
        <v>252120021</v>
      </c>
      <c r="B38" s="34">
        <v>16.666666666666668</v>
      </c>
      <c r="C38" s="10"/>
      <c r="D38" s="13" t="s">
        <v>272</v>
      </c>
      <c r="E38" s="29">
        <v>29.33</v>
      </c>
      <c r="G38" s="5"/>
      <c r="H38" s="7"/>
      <c r="I38" s="41"/>
    </row>
    <row r="39" spans="1:9" x14ac:dyDescent="0.2">
      <c r="A39" s="13">
        <v>252190013</v>
      </c>
      <c r="B39" s="34">
        <v>44</v>
      </c>
      <c r="C39" s="10"/>
      <c r="D39" s="13">
        <v>251090017</v>
      </c>
      <c r="E39" s="29">
        <v>17.333333333333332</v>
      </c>
      <c r="G39" s="5"/>
      <c r="H39" s="5"/>
      <c r="I39" s="41"/>
    </row>
    <row r="40" spans="1:9" x14ac:dyDescent="0.2">
      <c r="A40" s="14">
        <v>253200010</v>
      </c>
      <c r="B40" s="65">
        <v>12</v>
      </c>
      <c r="C40" s="10"/>
      <c r="D40" s="13">
        <v>251160011</v>
      </c>
      <c r="E40" s="29">
        <v>19.333333333333332</v>
      </c>
      <c r="G40" s="5"/>
      <c r="H40" s="7"/>
      <c r="I40" s="41"/>
    </row>
    <row r="41" spans="1:9" x14ac:dyDescent="0.2">
      <c r="A41" s="14">
        <v>253200037</v>
      </c>
      <c r="B41" s="65">
        <v>50.666666666666664</v>
      </c>
      <c r="C41" s="10"/>
      <c r="D41" s="13">
        <v>251160026</v>
      </c>
      <c r="E41" s="29">
        <v>18.666666666666668</v>
      </c>
      <c r="G41" s="5"/>
      <c r="H41" s="7"/>
      <c r="I41" s="41"/>
    </row>
    <row r="42" spans="1:9" x14ac:dyDescent="0.2">
      <c r="A42" s="14"/>
      <c r="B42" s="65"/>
      <c r="C42" s="10"/>
      <c r="D42" s="13">
        <v>251160044</v>
      </c>
      <c r="E42" s="29">
        <v>18</v>
      </c>
      <c r="H42" s="41"/>
      <c r="I42" s="41"/>
    </row>
    <row r="43" spans="1:9" x14ac:dyDescent="0.2">
      <c r="A43" s="14"/>
      <c r="B43" s="65"/>
      <c r="C43" s="10"/>
      <c r="D43" s="13">
        <v>252250003</v>
      </c>
      <c r="E43" s="29">
        <v>9.3333333333333339</v>
      </c>
      <c r="H43" s="41"/>
      <c r="I43" s="41"/>
    </row>
    <row r="44" spans="1:9" x14ac:dyDescent="0.2">
      <c r="A44" s="14"/>
      <c r="C44" s="10"/>
      <c r="D44" s="13">
        <v>253190028</v>
      </c>
      <c r="E44" s="29">
        <v>4.666666666666667</v>
      </c>
      <c r="G44" s="5"/>
      <c r="H44" s="41"/>
      <c r="I44" s="41"/>
    </row>
    <row r="45" spans="1:9" x14ac:dyDescent="0.2">
      <c r="A45" s="14"/>
      <c r="B45" s="34"/>
      <c r="C45" s="10"/>
      <c r="D45" s="13">
        <v>254020031</v>
      </c>
      <c r="E45" s="29">
        <v>23.333333333333332</v>
      </c>
      <c r="G45" s="5"/>
    </row>
    <row r="46" spans="1:9" x14ac:dyDescent="0.2">
      <c r="A46" s="14"/>
      <c r="B46" s="34"/>
      <c r="C46" s="10"/>
      <c r="D46" s="17"/>
      <c r="E46" s="17"/>
    </row>
    <row r="47" spans="1:9" x14ac:dyDescent="0.2">
      <c r="A47" s="14"/>
      <c r="B47" s="34"/>
      <c r="C47" s="10"/>
      <c r="D47" s="66"/>
      <c r="E47" s="62"/>
    </row>
    <row r="48" spans="1:9" x14ac:dyDescent="0.2">
      <c r="A48" s="14" t="s">
        <v>0</v>
      </c>
      <c r="B48" s="28">
        <f>COUNT(B5:B47)</f>
        <v>37</v>
      </c>
      <c r="C48" s="10"/>
      <c r="D48" s="14" t="s">
        <v>0</v>
      </c>
      <c r="E48" s="28">
        <f>COUNT(E5:E46)</f>
        <v>41</v>
      </c>
    </row>
    <row r="49" spans="1:5" x14ac:dyDescent="0.2">
      <c r="A49" s="14" t="s">
        <v>1</v>
      </c>
      <c r="B49" s="62">
        <f>AVERAGE(B5:B47)</f>
        <v>44.9</v>
      </c>
      <c r="C49" s="10"/>
      <c r="D49" s="14" t="s">
        <v>1</v>
      </c>
      <c r="E49" s="29">
        <f>AVERAGE(E5:E46)</f>
        <v>26.387723577235775</v>
      </c>
    </row>
    <row r="50" spans="1:5" x14ac:dyDescent="0.2">
      <c r="A50" s="14" t="s">
        <v>2</v>
      </c>
      <c r="B50" s="66">
        <f>STDEV(B5:B47)</f>
        <v>21.051720553712581</v>
      </c>
      <c r="C50" s="10"/>
      <c r="D50" s="14" t="s">
        <v>2</v>
      </c>
      <c r="E50" s="29">
        <f>STDEV(E5:E46)</f>
        <v>15.325537736424428</v>
      </c>
    </row>
    <row r="51" spans="1:5" x14ac:dyDescent="0.2">
      <c r="A51" s="14" t="s">
        <v>3</v>
      </c>
      <c r="B51" s="66">
        <f t="shared" ref="B51" si="0">B50/SQRT(B48)</f>
        <v>3.4608815400657238</v>
      </c>
      <c r="C51" s="10"/>
      <c r="D51" s="14" t="s">
        <v>3</v>
      </c>
      <c r="E51" s="29">
        <f t="shared" ref="E51" si="1">E50/SQRT(E48)</f>
        <v>2.3934468812631953</v>
      </c>
    </row>
    <row r="52" spans="1:5" x14ac:dyDescent="0.2">
      <c r="A52" s="14" t="s">
        <v>78</v>
      </c>
      <c r="B52" s="28">
        <v>23</v>
      </c>
      <c r="C52" s="10"/>
      <c r="D52" s="14" t="s">
        <v>78</v>
      </c>
      <c r="E52" s="28">
        <v>29</v>
      </c>
    </row>
    <row r="53" spans="1:5" x14ac:dyDescent="0.2">
      <c r="C53" s="10"/>
    </row>
    <row r="54" spans="1:5" x14ac:dyDescent="0.2">
      <c r="B54" s="14" t="s">
        <v>205</v>
      </c>
      <c r="C54" s="10"/>
    </row>
    <row r="55" spans="1:5" x14ac:dyDescent="0.2">
      <c r="C55" s="10"/>
    </row>
    <row r="59" spans="1:5" x14ac:dyDescent="0.2">
      <c r="C59" s="1"/>
    </row>
    <row r="60" spans="1:5" x14ac:dyDescent="0.2">
      <c r="C60" s="9"/>
    </row>
    <row r="61" spans="1:5" x14ac:dyDescent="0.2">
      <c r="C61" s="6"/>
    </row>
    <row r="62" spans="1:5" x14ac:dyDescent="0.2">
      <c r="C62" s="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6D5E-7A31-4043-9546-DC383906A662}">
  <dimension ref="A1:M36"/>
  <sheetViews>
    <sheetView workbookViewId="0">
      <selection sqref="A1:XFD1048576"/>
    </sheetView>
  </sheetViews>
  <sheetFormatPr baseColWidth="10" defaultColWidth="8.83203125" defaultRowHeight="15" x14ac:dyDescent="0.2"/>
  <cols>
    <col min="2" max="2" width="10.33203125" bestFit="1" customWidth="1"/>
    <col min="4" max="4" width="10.5" bestFit="1" customWidth="1"/>
    <col min="5" max="5" width="9.5" bestFit="1" customWidth="1"/>
    <col min="6" max="6" width="10.1640625" style="72" bestFit="1" customWidth="1"/>
    <col min="9" max="9" width="10.33203125" bestFit="1" customWidth="1"/>
    <col min="11" max="11" width="10.5" bestFit="1" customWidth="1"/>
    <col min="12" max="12" width="9.5" bestFit="1" customWidth="1"/>
    <col min="13" max="13" width="12" style="72" bestFit="1" customWidth="1"/>
  </cols>
  <sheetData>
    <row r="1" spans="1:13" x14ac:dyDescent="0.2">
      <c r="A1" s="106" t="s">
        <v>354</v>
      </c>
    </row>
    <row r="3" spans="1:13" x14ac:dyDescent="0.2">
      <c r="A3" t="s">
        <v>355</v>
      </c>
      <c r="B3" t="s">
        <v>356</v>
      </c>
      <c r="C3" t="s">
        <v>357</v>
      </c>
      <c r="D3" t="s">
        <v>358</v>
      </c>
      <c r="E3" t="s">
        <v>359</v>
      </c>
      <c r="F3" s="72" t="s">
        <v>360</v>
      </c>
      <c r="H3" t="s">
        <v>355</v>
      </c>
      <c r="I3" t="s">
        <v>356</v>
      </c>
      <c r="J3" t="s">
        <v>357</v>
      </c>
      <c r="K3" t="s">
        <v>358</v>
      </c>
      <c r="L3" t="s">
        <v>359</v>
      </c>
      <c r="M3" s="72" t="s">
        <v>360</v>
      </c>
    </row>
    <row r="4" spans="1:13" x14ac:dyDescent="0.2">
      <c r="A4">
        <v>9991</v>
      </c>
      <c r="B4" t="s">
        <v>306</v>
      </c>
      <c r="C4">
        <v>1</v>
      </c>
      <c r="D4">
        <v>33</v>
      </c>
      <c r="E4">
        <v>33</v>
      </c>
      <c r="F4" s="72">
        <v>100</v>
      </c>
      <c r="H4">
        <v>9137</v>
      </c>
      <c r="I4" t="s">
        <v>10</v>
      </c>
      <c r="J4">
        <v>1</v>
      </c>
      <c r="K4">
        <v>21</v>
      </c>
      <c r="L4">
        <v>20</v>
      </c>
      <c r="M4" s="72">
        <v>95.238095238095227</v>
      </c>
    </row>
    <row r="5" spans="1:13" x14ac:dyDescent="0.2">
      <c r="C5">
        <v>2</v>
      </c>
      <c r="D5">
        <v>19</v>
      </c>
      <c r="E5">
        <v>19</v>
      </c>
      <c r="F5" s="72">
        <v>100</v>
      </c>
      <c r="J5">
        <v>2</v>
      </c>
      <c r="K5">
        <v>41</v>
      </c>
      <c r="L5">
        <v>38</v>
      </c>
      <c r="M5" s="72">
        <v>92.682926829268297</v>
      </c>
    </row>
    <row r="6" spans="1:13" x14ac:dyDescent="0.2">
      <c r="C6">
        <v>3</v>
      </c>
      <c r="D6">
        <v>30</v>
      </c>
      <c r="E6">
        <v>29</v>
      </c>
      <c r="F6" s="72">
        <v>96.666666666666671</v>
      </c>
      <c r="J6">
        <v>3</v>
      </c>
      <c r="K6">
        <v>16</v>
      </c>
      <c r="L6">
        <v>16</v>
      </c>
      <c r="M6" s="72">
        <v>100</v>
      </c>
    </row>
    <row r="7" spans="1:13" x14ac:dyDescent="0.2">
      <c r="C7">
        <v>4</v>
      </c>
      <c r="D7">
        <v>26</v>
      </c>
      <c r="E7">
        <v>26</v>
      </c>
      <c r="F7" s="72">
        <v>100</v>
      </c>
      <c r="J7">
        <v>4</v>
      </c>
      <c r="K7">
        <v>22</v>
      </c>
      <c r="L7">
        <v>22</v>
      </c>
      <c r="M7" s="72">
        <v>100</v>
      </c>
    </row>
    <row r="8" spans="1:13" x14ac:dyDescent="0.2">
      <c r="C8">
        <v>5</v>
      </c>
      <c r="D8">
        <v>23</v>
      </c>
      <c r="E8">
        <v>23</v>
      </c>
      <c r="F8" s="72">
        <v>100</v>
      </c>
      <c r="J8">
        <v>5</v>
      </c>
      <c r="K8">
        <v>43</v>
      </c>
      <c r="L8">
        <v>40</v>
      </c>
      <c r="M8" s="72">
        <v>93.023255813953483</v>
      </c>
    </row>
    <row r="9" spans="1:13" x14ac:dyDescent="0.2">
      <c r="C9">
        <v>6</v>
      </c>
      <c r="D9">
        <v>23</v>
      </c>
      <c r="E9">
        <v>22</v>
      </c>
      <c r="F9" s="72">
        <v>95.652173913043484</v>
      </c>
      <c r="J9">
        <v>6</v>
      </c>
      <c r="K9">
        <v>28</v>
      </c>
      <c r="L9">
        <v>28</v>
      </c>
      <c r="M9" s="72">
        <v>100</v>
      </c>
    </row>
    <row r="10" spans="1:13" x14ac:dyDescent="0.2">
      <c r="C10">
        <v>7</v>
      </c>
      <c r="D10">
        <v>24</v>
      </c>
      <c r="E10">
        <v>23</v>
      </c>
      <c r="F10" s="72">
        <v>95.833333333333343</v>
      </c>
      <c r="J10">
        <v>7</v>
      </c>
      <c r="K10">
        <v>31</v>
      </c>
      <c r="L10">
        <v>29</v>
      </c>
      <c r="M10" s="72">
        <v>93.548387096774192</v>
      </c>
    </row>
    <row r="11" spans="1:13" x14ac:dyDescent="0.2">
      <c r="C11">
        <v>8</v>
      </c>
      <c r="D11">
        <v>30</v>
      </c>
      <c r="E11">
        <v>28</v>
      </c>
      <c r="F11" s="72">
        <v>93.333333333333329</v>
      </c>
      <c r="J11">
        <v>8</v>
      </c>
      <c r="K11">
        <v>20</v>
      </c>
      <c r="L11">
        <v>20</v>
      </c>
      <c r="M11" s="72">
        <v>100</v>
      </c>
    </row>
    <row r="12" spans="1:13" x14ac:dyDescent="0.2">
      <c r="C12">
        <v>9</v>
      </c>
      <c r="D12">
        <v>30</v>
      </c>
      <c r="E12">
        <v>29</v>
      </c>
      <c r="F12" s="72">
        <v>96.666666666666671</v>
      </c>
      <c r="J12">
        <v>9</v>
      </c>
      <c r="K12">
        <v>23</v>
      </c>
      <c r="L12">
        <v>23</v>
      </c>
      <c r="M12" s="72">
        <v>100</v>
      </c>
    </row>
    <row r="13" spans="1:13" x14ac:dyDescent="0.2">
      <c r="A13">
        <v>9003</v>
      </c>
      <c r="B13" t="s">
        <v>306</v>
      </c>
      <c r="C13">
        <v>1</v>
      </c>
      <c r="D13">
        <v>23</v>
      </c>
      <c r="E13">
        <v>20</v>
      </c>
      <c r="F13" s="72">
        <v>86.956521739130437</v>
      </c>
      <c r="H13">
        <v>4295</v>
      </c>
      <c r="I13" t="s">
        <v>10</v>
      </c>
      <c r="J13">
        <v>1</v>
      </c>
      <c r="K13">
        <v>34</v>
      </c>
      <c r="L13">
        <v>32</v>
      </c>
      <c r="M13" s="72">
        <v>94.117647058823522</v>
      </c>
    </row>
    <row r="14" spans="1:13" x14ac:dyDescent="0.2">
      <c r="C14">
        <v>2</v>
      </c>
      <c r="D14">
        <v>16</v>
      </c>
      <c r="E14">
        <v>16</v>
      </c>
      <c r="F14" s="72">
        <v>100</v>
      </c>
      <c r="J14">
        <v>2</v>
      </c>
      <c r="K14">
        <v>38</v>
      </c>
      <c r="L14">
        <v>38</v>
      </c>
      <c r="M14" s="72">
        <v>100</v>
      </c>
    </row>
    <row r="15" spans="1:13" x14ac:dyDescent="0.2">
      <c r="C15">
        <v>3</v>
      </c>
      <c r="D15">
        <v>17</v>
      </c>
      <c r="E15">
        <v>16</v>
      </c>
      <c r="F15" s="72">
        <v>94.117647058823522</v>
      </c>
      <c r="J15">
        <v>3</v>
      </c>
      <c r="K15">
        <v>24</v>
      </c>
      <c r="L15">
        <v>23</v>
      </c>
      <c r="M15" s="72">
        <v>95.833333333333343</v>
      </c>
    </row>
    <row r="16" spans="1:13" x14ac:dyDescent="0.2">
      <c r="C16">
        <v>4</v>
      </c>
      <c r="D16">
        <v>23</v>
      </c>
      <c r="E16">
        <v>23</v>
      </c>
      <c r="F16" s="72">
        <v>100</v>
      </c>
      <c r="J16">
        <v>4</v>
      </c>
      <c r="K16">
        <v>31</v>
      </c>
      <c r="L16">
        <v>31</v>
      </c>
      <c r="M16" s="72">
        <v>100</v>
      </c>
    </row>
    <row r="17" spans="1:13" x14ac:dyDescent="0.2">
      <c r="C17">
        <v>5</v>
      </c>
      <c r="D17">
        <v>20</v>
      </c>
      <c r="E17">
        <v>19</v>
      </c>
      <c r="F17" s="72">
        <v>95</v>
      </c>
      <c r="J17">
        <v>5</v>
      </c>
      <c r="K17">
        <v>28</v>
      </c>
      <c r="L17">
        <v>28</v>
      </c>
      <c r="M17" s="72">
        <v>100</v>
      </c>
    </row>
    <row r="18" spans="1:13" x14ac:dyDescent="0.2">
      <c r="C18">
        <v>6</v>
      </c>
      <c r="D18">
        <v>23</v>
      </c>
      <c r="E18">
        <v>22</v>
      </c>
      <c r="F18" s="72">
        <v>95.652173913043484</v>
      </c>
      <c r="J18">
        <v>6</v>
      </c>
      <c r="K18">
        <v>26</v>
      </c>
      <c r="L18">
        <v>26</v>
      </c>
      <c r="M18" s="72">
        <v>100</v>
      </c>
    </row>
    <row r="19" spans="1:13" x14ac:dyDescent="0.2">
      <c r="C19">
        <v>7</v>
      </c>
      <c r="D19">
        <v>23</v>
      </c>
      <c r="E19">
        <v>22</v>
      </c>
      <c r="F19" s="72">
        <v>95.652173913043484</v>
      </c>
      <c r="H19">
        <v>4291</v>
      </c>
      <c r="I19" t="s">
        <v>10</v>
      </c>
      <c r="J19">
        <v>1</v>
      </c>
      <c r="K19">
        <v>25</v>
      </c>
      <c r="L19">
        <v>23</v>
      </c>
      <c r="M19" s="72">
        <v>92</v>
      </c>
    </row>
    <row r="20" spans="1:13" x14ac:dyDescent="0.2">
      <c r="C20">
        <v>8</v>
      </c>
      <c r="D20">
        <v>25</v>
      </c>
      <c r="E20">
        <v>25</v>
      </c>
      <c r="F20" s="72">
        <v>100</v>
      </c>
      <c r="J20">
        <v>2</v>
      </c>
      <c r="K20">
        <v>24</v>
      </c>
      <c r="L20">
        <v>24</v>
      </c>
      <c r="M20" s="72">
        <v>100</v>
      </c>
    </row>
    <row r="21" spans="1:13" x14ac:dyDescent="0.2">
      <c r="C21">
        <v>9</v>
      </c>
      <c r="D21">
        <v>33</v>
      </c>
      <c r="E21">
        <v>31</v>
      </c>
      <c r="F21" s="72">
        <v>93.939393939393938</v>
      </c>
      <c r="J21">
        <v>3</v>
      </c>
      <c r="K21">
        <v>32</v>
      </c>
      <c r="L21">
        <v>30</v>
      </c>
      <c r="M21" s="72">
        <v>93.75</v>
      </c>
    </row>
    <row r="22" spans="1:13" x14ac:dyDescent="0.2">
      <c r="A22">
        <v>9992</v>
      </c>
      <c r="B22" t="s">
        <v>306</v>
      </c>
      <c r="C22">
        <v>1</v>
      </c>
      <c r="D22">
        <v>63</v>
      </c>
      <c r="E22">
        <v>60</v>
      </c>
      <c r="F22" s="72">
        <v>95.238095238095227</v>
      </c>
      <c r="H22">
        <v>4293</v>
      </c>
      <c r="I22" t="s">
        <v>10</v>
      </c>
      <c r="J22">
        <v>1</v>
      </c>
      <c r="K22">
        <v>31</v>
      </c>
      <c r="L22">
        <v>29</v>
      </c>
      <c r="M22" s="72">
        <v>93.548387096774192</v>
      </c>
    </row>
    <row r="23" spans="1:13" x14ac:dyDescent="0.2">
      <c r="C23">
        <v>2</v>
      </c>
      <c r="D23">
        <v>36</v>
      </c>
      <c r="E23">
        <v>36</v>
      </c>
      <c r="F23" s="72">
        <v>100</v>
      </c>
      <c r="J23">
        <v>2</v>
      </c>
      <c r="K23">
        <v>34</v>
      </c>
      <c r="L23">
        <v>34</v>
      </c>
      <c r="M23" s="72">
        <v>100</v>
      </c>
    </row>
    <row r="24" spans="1:13" x14ac:dyDescent="0.2">
      <c r="C24">
        <v>3</v>
      </c>
      <c r="D24">
        <v>46</v>
      </c>
      <c r="E24">
        <v>44</v>
      </c>
      <c r="F24" s="72">
        <v>95.652173913043484</v>
      </c>
      <c r="J24">
        <v>3</v>
      </c>
      <c r="K24">
        <v>20</v>
      </c>
      <c r="L24">
        <v>20</v>
      </c>
      <c r="M24" s="72">
        <v>100</v>
      </c>
    </row>
    <row r="25" spans="1:13" x14ac:dyDescent="0.2">
      <c r="C25">
        <v>4</v>
      </c>
      <c r="D25">
        <v>36</v>
      </c>
      <c r="E25">
        <v>35</v>
      </c>
      <c r="F25" s="72">
        <v>97.222222222222214</v>
      </c>
      <c r="J25">
        <v>4</v>
      </c>
      <c r="K25">
        <v>33</v>
      </c>
      <c r="L25">
        <v>33</v>
      </c>
      <c r="M25" s="72">
        <v>100</v>
      </c>
    </row>
    <row r="26" spans="1:13" x14ac:dyDescent="0.2">
      <c r="C26">
        <v>5</v>
      </c>
      <c r="D26">
        <v>31</v>
      </c>
      <c r="E26">
        <v>31</v>
      </c>
      <c r="F26" s="72">
        <v>100</v>
      </c>
      <c r="J26">
        <v>5</v>
      </c>
      <c r="K26">
        <v>42</v>
      </c>
      <c r="L26">
        <v>40</v>
      </c>
      <c r="M26" s="72">
        <v>95.238095238095227</v>
      </c>
    </row>
    <row r="27" spans="1:13" x14ac:dyDescent="0.2">
      <c r="C27">
        <v>6</v>
      </c>
      <c r="D27">
        <v>40</v>
      </c>
      <c r="E27">
        <v>40</v>
      </c>
      <c r="F27" s="72">
        <v>100</v>
      </c>
      <c r="J27">
        <v>6</v>
      </c>
      <c r="K27">
        <v>29</v>
      </c>
      <c r="L27">
        <v>28</v>
      </c>
      <c r="M27" s="72">
        <v>96.551724137931032</v>
      </c>
    </row>
    <row r="28" spans="1:13" x14ac:dyDescent="0.2">
      <c r="C28">
        <v>7</v>
      </c>
      <c r="D28">
        <v>34</v>
      </c>
      <c r="E28">
        <v>32</v>
      </c>
      <c r="F28" s="72">
        <v>94.117647058823522</v>
      </c>
      <c r="J28">
        <v>7</v>
      </c>
      <c r="K28">
        <v>33</v>
      </c>
      <c r="L28">
        <v>33</v>
      </c>
      <c r="M28" s="72">
        <v>100</v>
      </c>
    </row>
    <row r="29" spans="1:13" x14ac:dyDescent="0.2">
      <c r="C29">
        <v>8</v>
      </c>
      <c r="D29">
        <v>42</v>
      </c>
      <c r="E29">
        <v>42</v>
      </c>
      <c r="F29" s="72">
        <v>100</v>
      </c>
      <c r="J29">
        <v>8</v>
      </c>
      <c r="K29">
        <v>46</v>
      </c>
      <c r="L29">
        <v>44</v>
      </c>
      <c r="M29" s="72">
        <v>95.652173913043484</v>
      </c>
    </row>
    <row r="30" spans="1:13" x14ac:dyDescent="0.2">
      <c r="C30">
        <v>9</v>
      </c>
      <c r="D30">
        <v>34</v>
      </c>
      <c r="E30">
        <v>34</v>
      </c>
      <c r="F30" s="72">
        <v>100</v>
      </c>
      <c r="J30">
        <v>9</v>
      </c>
      <c r="K30">
        <v>36</v>
      </c>
      <c r="L30">
        <v>34</v>
      </c>
      <c r="M30" s="72">
        <v>94.444444444444443</v>
      </c>
    </row>
    <row r="32" spans="1:13" x14ac:dyDescent="0.2">
      <c r="B32" t="s">
        <v>10</v>
      </c>
      <c r="C32" t="s">
        <v>361</v>
      </c>
    </row>
    <row r="33" spans="1:3" x14ac:dyDescent="0.2">
      <c r="A33" t="s">
        <v>362</v>
      </c>
      <c r="B33">
        <v>27</v>
      </c>
      <c r="C33">
        <v>27</v>
      </c>
    </row>
    <row r="34" spans="1:3" x14ac:dyDescent="0.2">
      <c r="A34" s="107" t="s">
        <v>1</v>
      </c>
      <c r="B34" s="21">
        <v>97.241</v>
      </c>
      <c r="C34" s="21">
        <v>97.103999999999999</v>
      </c>
    </row>
    <row r="35" spans="1:3" x14ac:dyDescent="0.2">
      <c r="A35" s="107" t="s">
        <v>363</v>
      </c>
      <c r="B35" s="21">
        <v>0.58908000000000005</v>
      </c>
      <c r="C35" s="21">
        <v>0.61265000000000003</v>
      </c>
    </row>
    <row r="36" spans="1:3" x14ac:dyDescent="0.2">
      <c r="A36" t="s">
        <v>364</v>
      </c>
      <c r="B36" s="21">
        <v>0.87250000000000005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BD991-38E8-44AF-8F28-7C2E2BE22BD3}">
  <dimension ref="A1:D17"/>
  <sheetViews>
    <sheetView workbookViewId="0">
      <selection sqref="A1:XFD1048576"/>
    </sheetView>
  </sheetViews>
  <sheetFormatPr baseColWidth="10" defaultColWidth="8.83203125" defaultRowHeight="15" x14ac:dyDescent="0.2"/>
  <sheetData>
    <row r="1" spans="1:4" x14ac:dyDescent="0.2">
      <c r="A1" t="s">
        <v>365</v>
      </c>
    </row>
    <row r="2" spans="1:4" x14ac:dyDescent="0.2">
      <c r="A2" s="43" t="s">
        <v>10</v>
      </c>
      <c r="B2" s="43" t="s">
        <v>306</v>
      </c>
    </row>
    <row r="3" spans="1:4" x14ac:dyDescent="0.2">
      <c r="A3" s="41">
        <v>6.8985908699999996</v>
      </c>
      <c r="B3" s="41">
        <v>8.0886375800000003</v>
      </c>
      <c r="D3" t="s">
        <v>366</v>
      </c>
    </row>
    <row r="4" spans="1:4" x14ac:dyDescent="0.2">
      <c r="A4" s="41">
        <v>5.9424396899999996</v>
      </c>
      <c r="B4" s="41">
        <v>7.5093842899999999</v>
      </c>
    </row>
    <row r="5" spans="1:4" x14ac:dyDescent="0.2">
      <c r="A5" s="41">
        <v>6.81191221</v>
      </c>
      <c r="B5" s="41">
        <v>6.3424945800000003</v>
      </c>
    </row>
    <row r="6" spans="1:4" x14ac:dyDescent="0.2">
      <c r="A6" s="41"/>
      <c r="B6" s="41"/>
    </row>
    <row r="7" spans="1:4" x14ac:dyDescent="0.2">
      <c r="A7" t="s">
        <v>367</v>
      </c>
    </row>
    <row r="8" spans="1:4" x14ac:dyDescent="0.2">
      <c r="A8" s="43" t="s">
        <v>10</v>
      </c>
      <c r="B8" s="43" t="s">
        <v>306</v>
      </c>
    </row>
    <row r="9" spans="1:4" x14ac:dyDescent="0.2">
      <c r="A9" s="41">
        <v>2.7210472499999998</v>
      </c>
      <c r="B9" s="41">
        <v>3.9147927500000002</v>
      </c>
      <c r="D9" t="s">
        <v>368</v>
      </c>
    </row>
    <row r="10" spans="1:4" x14ac:dyDescent="0.2">
      <c r="A10" s="41">
        <v>3.0604808299999999</v>
      </c>
      <c r="B10" s="41">
        <v>3.1803044599999999</v>
      </c>
    </row>
    <row r="11" spans="1:4" x14ac:dyDescent="0.2">
      <c r="A11" s="41">
        <v>3.0329980999999999</v>
      </c>
      <c r="B11" s="41">
        <v>2.9535582699999998</v>
      </c>
    </row>
    <row r="13" spans="1:4" x14ac:dyDescent="0.2">
      <c r="A13" t="s">
        <v>369</v>
      </c>
    </row>
    <row r="14" spans="1:4" x14ac:dyDescent="0.2">
      <c r="A14" s="43" t="s">
        <v>10</v>
      </c>
      <c r="B14" s="43" t="s">
        <v>306</v>
      </c>
    </row>
    <row r="15" spans="1:4" x14ac:dyDescent="0.2">
      <c r="A15" s="41">
        <v>1.24451869</v>
      </c>
      <c r="B15" s="41">
        <v>2.0564465200000002</v>
      </c>
      <c r="D15" t="s">
        <v>370</v>
      </c>
    </row>
    <row r="16" spans="1:4" x14ac:dyDescent="0.2">
      <c r="A16" s="41">
        <v>1.28711899</v>
      </c>
      <c r="B16" s="41">
        <v>2.2236423699999999</v>
      </c>
    </row>
    <row r="17" spans="1:2" x14ac:dyDescent="0.2">
      <c r="A17" s="41">
        <v>1.53759026</v>
      </c>
      <c r="B17" s="41">
        <v>1.5700645799999999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9AE6-E99D-4241-A38E-B4F6D552277C}">
  <dimension ref="A1:I8"/>
  <sheetViews>
    <sheetView workbookViewId="0">
      <selection sqref="A1:XFD1048576"/>
    </sheetView>
  </sheetViews>
  <sheetFormatPr baseColWidth="10" defaultColWidth="8.83203125" defaultRowHeight="15" x14ac:dyDescent="0.2"/>
  <sheetData>
    <row r="1" spans="1:9" x14ac:dyDescent="0.2">
      <c r="A1" s="106" t="s">
        <v>371</v>
      </c>
    </row>
    <row r="3" spans="1:9" x14ac:dyDescent="0.2">
      <c r="A3" s="106" t="s">
        <v>10</v>
      </c>
    </row>
    <row r="4" spans="1:9" x14ac:dyDescent="0.2">
      <c r="A4" s="21">
        <v>298.30792559999998</v>
      </c>
      <c r="B4" s="21">
        <v>337.08938119999999</v>
      </c>
      <c r="C4" s="21">
        <v>218.4202919</v>
      </c>
      <c r="D4" s="21">
        <v>206.7736185</v>
      </c>
      <c r="E4" s="21">
        <v>290.29793749999999</v>
      </c>
      <c r="F4" s="21">
        <v>339.0100875</v>
      </c>
      <c r="H4" s="108" t="s">
        <v>372</v>
      </c>
      <c r="I4" t="s">
        <v>373</v>
      </c>
    </row>
    <row r="5" spans="1:9" x14ac:dyDescent="0.2">
      <c r="H5" s="41">
        <v>281.60000000000002</v>
      </c>
      <c r="I5" t="s">
        <v>10</v>
      </c>
    </row>
    <row r="6" spans="1:9" x14ac:dyDescent="0.2">
      <c r="A6" s="106" t="s">
        <v>361</v>
      </c>
      <c r="H6" s="41">
        <v>265.10000000000002</v>
      </c>
      <c r="I6" t="s">
        <v>374</v>
      </c>
    </row>
    <row r="7" spans="1:9" x14ac:dyDescent="0.2">
      <c r="I7" t="s">
        <v>375</v>
      </c>
    </row>
    <row r="8" spans="1:9" x14ac:dyDescent="0.2">
      <c r="A8" s="21">
        <v>304.66066690000002</v>
      </c>
      <c r="B8" s="21">
        <v>337.15639370000002</v>
      </c>
      <c r="C8" s="21">
        <v>260.50689160000002</v>
      </c>
      <c r="D8" s="21">
        <v>260.26392959999998</v>
      </c>
      <c r="E8" s="21">
        <v>210.15637659999999</v>
      </c>
      <c r="F8" s="21">
        <v>218.02584669999999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0B275-CE8E-482C-9CC3-8BF3CCD7797D}">
  <dimension ref="A1:W68"/>
  <sheetViews>
    <sheetView workbookViewId="0">
      <selection activeCell="W5" sqref="W5"/>
    </sheetView>
  </sheetViews>
  <sheetFormatPr baseColWidth="10" defaultColWidth="8.83203125" defaultRowHeight="15" x14ac:dyDescent="0.2"/>
  <cols>
    <col min="20" max="20" width="9.1640625" style="43"/>
    <col min="21" max="22" width="11.83203125" style="43" bestFit="1" customWidth="1"/>
    <col min="23" max="23" width="9.1640625" style="43"/>
  </cols>
  <sheetData>
    <row r="1" spans="1:23" x14ac:dyDescent="0.2">
      <c r="A1" t="s">
        <v>394</v>
      </c>
      <c r="T1" s="43" t="s">
        <v>395</v>
      </c>
      <c r="U1" s="43" t="s">
        <v>399</v>
      </c>
      <c r="V1" s="43" t="s">
        <v>400</v>
      </c>
      <c r="W1" s="43" t="s">
        <v>401</v>
      </c>
    </row>
    <row r="2" spans="1:23" x14ac:dyDescent="0.2">
      <c r="A2" s="109" t="s">
        <v>376</v>
      </c>
      <c r="B2" s="109" t="s">
        <v>377</v>
      </c>
      <c r="C2" s="109" t="s">
        <v>378</v>
      </c>
      <c r="D2" s="109" t="s">
        <v>379</v>
      </c>
      <c r="E2" s="109" t="s">
        <v>380</v>
      </c>
      <c r="F2" s="109" t="s">
        <v>381</v>
      </c>
      <c r="G2" s="109" t="s">
        <v>382</v>
      </c>
      <c r="H2" s="109" t="s">
        <v>383</v>
      </c>
      <c r="I2" s="109" t="s">
        <v>384</v>
      </c>
      <c r="J2" s="109" t="s">
        <v>385</v>
      </c>
      <c r="K2" s="109" t="s">
        <v>386</v>
      </c>
      <c r="L2" s="109" t="s">
        <v>387</v>
      </c>
      <c r="M2" s="109" t="s">
        <v>388</v>
      </c>
      <c r="N2" s="109" t="s">
        <v>389</v>
      </c>
      <c r="O2" s="109" t="s">
        <v>390</v>
      </c>
      <c r="P2" s="109" t="s">
        <v>391</v>
      </c>
      <c r="Q2" s="109" t="s">
        <v>392</v>
      </c>
      <c r="R2" s="109" t="s">
        <v>393</v>
      </c>
      <c r="T2" s="109" t="s">
        <v>396</v>
      </c>
      <c r="U2" s="41" t="s">
        <v>402</v>
      </c>
      <c r="V2" s="41" t="s">
        <v>403</v>
      </c>
      <c r="W2" s="41" t="s">
        <v>404</v>
      </c>
    </row>
    <row r="3" spans="1:23" x14ac:dyDescent="0.2">
      <c r="A3" s="41">
        <v>15.907999999999999</v>
      </c>
      <c r="B3" s="41">
        <v>20.52</v>
      </c>
      <c r="C3" s="41">
        <v>14.105</v>
      </c>
      <c r="D3" s="41">
        <v>15.815</v>
      </c>
      <c r="E3" s="41">
        <v>20.631</v>
      </c>
      <c r="F3" s="41">
        <v>16.646000000000001</v>
      </c>
      <c r="G3" s="41">
        <v>22.817</v>
      </c>
      <c r="H3" s="41">
        <v>17.774999999999999</v>
      </c>
      <c r="I3" s="41">
        <v>18.199000000000002</v>
      </c>
      <c r="J3" s="41">
        <v>21.062000000000001</v>
      </c>
      <c r="K3" s="41">
        <v>23.44</v>
      </c>
      <c r="L3" s="41">
        <v>20.338000000000001</v>
      </c>
      <c r="M3" s="41">
        <v>17.934000000000001</v>
      </c>
      <c r="N3" s="41">
        <v>18.231999999999999</v>
      </c>
      <c r="O3" s="41">
        <v>25.954000000000001</v>
      </c>
      <c r="P3" s="41">
        <v>22.036000000000001</v>
      </c>
      <c r="Q3" s="41">
        <v>19.193999999999999</v>
      </c>
      <c r="R3" s="41">
        <v>20.305</v>
      </c>
      <c r="T3" s="43" t="s">
        <v>397</v>
      </c>
      <c r="U3" s="41" t="s">
        <v>406</v>
      </c>
      <c r="V3" s="41" t="s">
        <v>407</v>
      </c>
      <c r="W3" s="41">
        <v>2.9999999999999997E-4</v>
      </c>
    </row>
    <row r="4" spans="1:23" x14ac:dyDescent="0.2">
      <c r="A4" s="41">
        <v>15.769</v>
      </c>
      <c r="B4" s="41">
        <v>21.742999999999999</v>
      </c>
      <c r="C4" s="41">
        <v>15.984999999999999</v>
      </c>
      <c r="D4" s="41">
        <v>16.146000000000001</v>
      </c>
      <c r="E4" s="41">
        <v>17.14</v>
      </c>
      <c r="F4" s="41">
        <v>18.881</v>
      </c>
      <c r="G4" s="41">
        <v>22.526</v>
      </c>
      <c r="H4" s="41">
        <v>16.533000000000001</v>
      </c>
      <c r="I4" s="41">
        <v>18.869</v>
      </c>
      <c r="J4" s="41">
        <v>21.44</v>
      </c>
      <c r="K4" s="41">
        <v>20.204999999999998</v>
      </c>
      <c r="L4" s="41">
        <v>18.303999999999998</v>
      </c>
      <c r="M4" s="41">
        <v>18.931999999999999</v>
      </c>
      <c r="N4" s="41">
        <v>17.108000000000001</v>
      </c>
      <c r="O4" s="41">
        <v>28.123999999999999</v>
      </c>
      <c r="P4" s="41">
        <v>19.699000000000002</v>
      </c>
      <c r="Q4" s="41">
        <v>20.523</v>
      </c>
      <c r="R4" s="41">
        <v>21.995999999999999</v>
      </c>
      <c r="T4" s="43" t="s">
        <v>398</v>
      </c>
      <c r="U4" s="41" t="s">
        <v>408</v>
      </c>
      <c r="V4" s="41" t="s">
        <v>409</v>
      </c>
      <c r="W4" s="41">
        <v>8.0000000000000004E-4</v>
      </c>
    </row>
    <row r="5" spans="1:23" x14ac:dyDescent="0.2">
      <c r="A5" s="41">
        <v>19.965</v>
      </c>
      <c r="B5" s="41">
        <v>18.335000000000001</v>
      </c>
      <c r="C5" s="41">
        <v>15.782999999999999</v>
      </c>
      <c r="D5" s="41">
        <v>16.603000000000002</v>
      </c>
      <c r="E5" s="41">
        <v>23.847999999999999</v>
      </c>
      <c r="F5" s="41">
        <v>17.364000000000001</v>
      </c>
      <c r="G5" s="41">
        <v>20.803000000000001</v>
      </c>
      <c r="H5" s="41">
        <v>14.68</v>
      </c>
      <c r="I5" s="41">
        <v>20.545000000000002</v>
      </c>
      <c r="J5" s="41">
        <v>20.49</v>
      </c>
      <c r="K5" s="41">
        <v>24.472999999999999</v>
      </c>
      <c r="L5" s="41">
        <v>17.425999999999998</v>
      </c>
      <c r="M5" s="41">
        <v>19.02</v>
      </c>
      <c r="N5" s="41">
        <v>17.555</v>
      </c>
      <c r="O5" s="41">
        <v>20.202000000000002</v>
      </c>
      <c r="P5" s="41">
        <v>17.567</v>
      </c>
      <c r="Q5" s="41">
        <v>19.469000000000001</v>
      </c>
      <c r="R5" s="41">
        <v>20.041</v>
      </c>
      <c r="T5" s="43" t="s">
        <v>405</v>
      </c>
      <c r="U5" s="41" t="s">
        <v>410</v>
      </c>
      <c r="V5" s="41" t="s">
        <v>411</v>
      </c>
      <c r="W5" s="41" t="s">
        <v>404</v>
      </c>
    </row>
    <row r="6" spans="1:23" x14ac:dyDescent="0.2">
      <c r="A6" s="41">
        <v>19.634</v>
      </c>
      <c r="B6" s="41">
        <v>24.462</v>
      </c>
      <c r="C6" s="41">
        <v>18.414000000000001</v>
      </c>
      <c r="D6" s="41">
        <v>17.652000000000001</v>
      </c>
      <c r="E6" s="41">
        <v>16.047999999999998</v>
      </c>
      <c r="F6" s="41">
        <v>22.015000000000001</v>
      </c>
      <c r="G6" s="41">
        <v>14.209</v>
      </c>
      <c r="H6" s="41">
        <v>18.753</v>
      </c>
      <c r="I6" s="41">
        <v>13.004</v>
      </c>
      <c r="J6" s="41">
        <v>22.494</v>
      </c>
      <c r="K6" s="41">
        <v>19.445</v>
      </c>
      <c r="L6" s="41">
        <v>23.207999999999998</v>
      </c>
      <c r="M6" s="41">
        <v>16.484999999999999</v>
      </c>
      <c r="N6" s="41">
        <v>16.995000000000001</v>
      </c>
      <c r="O6" s="41">
        <v>22.919</v>
      </c>
      <c r="P6" s="41">
        <v>15.397</v>
      </c>
      <c r="Q6" s="41">
        <v>34.578000000000003</v>
      </c>
      <c r="R6" s="41">
        <v>19.809000000000001</v>
      </c>
    </row>
    <row r="7" spans="1:23" x14ac:dyDescent="0.2">
      <c r="A7" s="41">
        <v>18.695</v>
      </c>
      <c r="B7" s="41">
        <v>18.606999999999999</v>
      </c>
      <c r="C7" s="41">
        <v>13.648</v>
      </c>
      <c r="D7" s="41">
        <v>14.647</v>
      </c>
      <c r="E7" s="41">
        <v>15.831</v>
      </c>
      <c r="F7" s="41">
        <v>19.898</v>
      </c>
      <c r="G7" s="41">
        <v>20.85</v>
      </c>
      <c r="H7" s="41">
        <v>17.632000000000001</v>
      </c>
      <c r="I7" s="41">
        <v>18.638999999999999</v>
      </c>
      <c r="J7" s="41">
        <v>18.158999999999999</v>
      </c>
      <c r="K7" s="41">
        <v>21.585000000000001</v>
      </c>
      <c r="L7" s="41">
        <v>20.622</v>
      </c>
      <c r="M7" s="41">
        <v>17.128</v>
      </c>
      <c r="N7" s="41">
        <v>13.686999999999999</v>
      </c>
      <c r="O7" s="41">
        <v>23.45</v>
      </c>
      <c r="P7" s="41">
        <v>18.872</v>
      </c>
      <c r="Q7" s="41">
        <v>19.324999999999999</v>
      </c>
      <c r="R7" s="41">
        <v>19.765000000000001</v>
      </c>
    </row>
    <row r="8" spans="1:23" x14ac:dyDescent="0.2">
      <c r="A8" s="41">
        <v>18.382000000000001</v>
      </c>
      <c r="B8" s="41">
        <v>18.498999999999999</v>
      </c>
      <c r="C8" s="41">
        <v>18.995999999999999</v>
      </c>
      <c r="D8" s="41">
        <v>19.654</v>
      </c>
      <c r="E8" s="41">
        <v>14.141999999999999</v>
      </c>
      <c r="F8" s="41">
        <v>19.654</v>
      </c>
      <c r="G8" s="41">
        <v>16.565999999999999</v>
      </c>
      <c r="H8" s="41">
        <v>16.561</v>
      </c>
      <c r="I8" s="41">
        <v>19.707000000000001</v>
      </c>
      <c r="J8" s="41">
        <v>18.939</v>
      </c>
      <c r="K8" s="41">
        <v>22.882000000000001</v>
      </c>
      <c r="L8" s="41">
        <v>25.254999999999999</v>
      </c>
      <c r="M8" s="41">
        <v>19.477</v>
      </c>
      <c r="N8" s="41">
        <v>17.481999999999999</v>
      </c>
      <c r="O8" s="41">
        <v>28.085000000000001</v>
      </c>
      <c r="P8" s="41">
        <v>19.681999999999999</v>
      </c>
      <c r="Q8" s="41">
        <v>24.498999999999999</v>
      </c>
      <c r="R8" s="41">
        <v>17.87</v>
      </c>
    </row>
    <row r="9" spans="1:23" x14ac:dyDescent="0.2">
      <c r="A9" s="41">
        <v>16.849</v>
      </c>
      <c r="B9" s="41">
        <v>18.422000000000001</v>
      </c>
      <c r="C9" s="41">
        <v>13.048999999999999</v>
      </c>
      <c r="D9" s="41">
        <v>14.787000000000001</v>
      </c>
      <c r="E9" s="41">
        <v>19.298999999999999</v>
      </c>
      <c r="F9" s="41">
        <v>16.901</v>
      </c>
      <c r="G9" s="41">
        <v>14.04</v>
      </c>
      <c r="H9" s="41">
        <v>18.100000000000001</v>
      </c>
      <c r="I9" s="41">
        <v>22.645</v>
      </c>
      <c r="J9" s="41">
        <v>18.202999999999999</v>
      </c>
      <c r="K9" s="41">
        <v>16.571999999999999</v>
      </c>
      <c r="L9" s="41">
        <v>21.783000000000001</v>
      </c>
      <c r="M9" s="41">
        <v>18.506</v>
      </c>
      <c r="N9" s="41">
        <v>21.114000000000001</v>
      </c>
      <c r="O9" s="41">
        <v>27.693000000000001</v>
      </c>
      <c r="P9" s="41">
        <v>18.135000000000002</v>
      </c>
      <c r="Q9" s="41">
        <v>18.422999999999998</v>
      </c>
      <c r="R9" s="41">
        <v>16.724</v>
      </c>
    </row>
    <row r="10" spans="1:23" x14ac:dyDescent="0.2">
      <c r="A10" s="41">
        <v>21.363</v>
      </c>
      <c r="B10" s="41">
        <v>17.777000000000001</v>
      </c>
      <c r="C10" s="41">
        <v>21.312999999999999</v>
      </c>
      <c r="D10" s="41">
        <v>18.085000000000001</v>
      </c>
      <c r="E10" s="41">
        <v>17.45</v>
      </c>
      <c r="F10" s="41">
        <v>16.649999999999999</v>
      </c>
      <c r="G10" s="41">
        <v>16.992000000000001</v>
      </c>
      <c r="H10" s="41">
        <v>20.448</v>
      </c>
      <c r="I10" s="41">
        <v>21.704000000000001</v>
      </c>
      <c r="J10" s="41">
        <v>19.513999999999999</v>
      </c>
      <c r="K10" s="41">
        <v>25.030999999999999</v>
      </c>
      <c r="L10" s="41">
        <v>25.192</v>
      </c>
      <c r="M10" s="41">
        <v>19.917000000000002</v>
      </c>
      <c r="N10" s="41">
        <v>16.856000000000002</v>
      </c>
      <c r="O10" s="41">
        <v>22.530999999999999</v>
      </c>
      <c r="P10" s="41">
        <v>13.185</v>
      </c>
      <c r="Q10" s="41">
        <v>20.782</v>
      </c>
      <c r="R10" s="41">
        <v>19.887</v>
      </c>
    </row>
    <row r="11" spans="1:23" x14ac:dyDescent="0.2">
      <c r="A11" s="41">
        <v>22.422000000000001</v>
      </c>
      <c r="B11" s="41">
        <v>14.984</v>
      </c>
      <c r="C11" s="41">
        <v>13.265000000000001</v>
      </c>
      <c r="D11" s="41">
        <v>13.124000000000001</v>
      </c>
      <c r="E11" s="41">
        <v>20.513000000000002</v>
      </c>
      <c r="F11" s="41">
        <v>20.49</v>
      </c>
      <c r="G11" s="41">
        <v>14.734</v>
      </c>
      <c r="H11" s="41">
        <v>18.338000000000001</v>
      </c>
      <c r="I11" s="41">
        <v>24.45</v>
      </c>
      <c r="J11" s="41">
        <v>20.103999999999999</v>
      </c>
      <c r="K11" s="41">
        <v>16.056000000000001</v>
      </c>
      <c r="L11" s="41">
        <v>18.032</v>
      </c>
      <c r="M11" s="41">
        <v>21.209</v>
      </c>
      <c r="N11" s="41">
        <v>19.975999999999999</v>
      </c>
      <c r="O11" s="41">
        <v>22.632000000000001</v>
      </c>
      <c r="P11" s="41">
        <v>12.929</v>
      </c>
      <c r="Q11" s="41">
        <v>22.986000000000001</v>
      </c>
      <c r="R11" s="41">
        <v>15.441000000000001</v>
      </c>
    </row>
    <row r="12" spans="1:23" x14ac:dyDescent="0.2">
      <c r="A12" s="41">
        <v>18.283000000000001</v>
      </c>
      <c r="B12" s="41">
        <v>11.798</v>
      </c>
      <c r="C12" s="41">
        <v>22.608000000000001</v>
      </c>
      <c r="D12" s="41">
        <v>14.983000000000001</v>
      </c>
      <c r="E12" s="41">
        <v>21.681999999999999</v>
      </c>
      <c r="F12" s="41">
        <v>17.63</v>
      </c>
      <c r="G12" s="41">
        <v>17.654</v>
      </c>
      <c r="H12" s="41">
        <v>20.794</v>
      </c>
      <c r="I12" s="41">
        <v>23.163</v>
      </c>
      <c r="J12" s="41">
        <v>21.04</v>
      </c>
      <c r="K12" s="41">
        <v>21.247</v>
      </c>
      <c r="L12" s="41">
        <v>19.457000000000001</v>
      </c>
      <c r="M12" s="41">
        <v>19.346</v>
      </c>
      <c r="N12" s="41">
        <v>22.408000000000001</v>
      </c>
      <c r="O12" s="41">
        <v>20.024999999999999</v>
      </c>
      <c r="P12" s="41">
        <v>15.365</v>
      </c>
      <c r="Q12" s="41">
        <v>22.905000000000001</v>
      </c>
      <c r="R12" s="41">
        <v>16.428999999999998</v>
      </c>
    </row>
    <row r="13" spans="1:23" x14ac:dyDescent="0.2">
      <c r="A13" s="41">
        <v>13.67</v>
      </c>
      <c r="B13" s="41">
        <v>12.186</v>
      </c>
      <c r="C13" s="41">
        <v>18.294</v>
      </c>
      <c r="D13" s="41">
        <v>14.02</v>
      </c>
      <c r="E13" s="41">
        <v>15.423999999999999</v>
      </c>
      <c r="F13" s="41">
        <v>21.285</v>
      </c>
      <c r="G13" s="41">
        <v>18.869</v>
      </c>
      <c r="H13" s="41">
        <v>18.524000000000001</v>
      </c>
      <c r="I13" s="41">
        <v>21.402999999999999</v>
      </c>
      <c r="J13" s="41">
        <v>23.847999999999999</v>
      </c>
      <c r="K13" s="41">
        <v>16.094999999999999</v>
      </c>
      <c r="L13" s="41">
        <v>21.741</v>
      </c>
      <c r="M13" s="41">
        <v>18.206</v>
      </c>
      <c r="N13" s="41">
        <v>24.285</v>
      </c>
      <c r="O13" s="41">
        <v>18.800999999999998</v>
      </c>
      <c r="P13" s="41">
        <v>19.332000000000001</v>
      </c>
      <c r="Q13" s="41">
        <v>18.882000000000001</v>
      </c>
      <c r="R13" s="41">
        <v>20.838999999999999</v>
      </c>
    </row>
    <row r="14" spans="1:23" x14ac:dyDescent="0.2">
      <c r="A14" s="41">
        <v>17.472000000000001</v>
      </c>
      <c r="B14" s="41">
        <v>15.968</v>
      </c>
      <c r="C14" s="41">
        <v>17.135999999999999</v>
      </c>
      <c r="D14" s="41">
        <v>16.117000000000001</v>
      </c>
      <c r="E14" s="41">
        <v>16.18</v>
      </c>
      <c r="F14" s="41">
        <v>19.7</v>
      </c>
      <c r="G14" s="41">
        <v>18.111999999999998</v>
      </c>
      <c r="H14" s="41">
        <v>18.381</v>
      </c>
      <c r="I14" s="41">
        <v>21.204000000000001</v>
      </c>
      <c r="J14" s="41">
        <v>14.852</v>
      </c>
      <c r="K14" s="41">
        <v>15.413</v>
      </c>
      <c r="L14" s="41">
        <v>20.565000000000001</v>
      </c>
      <c r="M14" s="41">
        <v>17.956</v>
      </c>
      <c r="N14" s="41">
        <v>25.064</v>
      </c>
      <c r="O14" s="41">
        <v>18.818000000000001</v>
      </c>
      <c r="P14" s="41">
        <v>16.863</v>
      </c>
      <c r="Q14" s="41">
        <v>20.204000000000001</v>
      </c>
      <c r="R14" s="41">
        <v>21.378</v>
      </c>
    </row>
    <row r="15" spans="1:23" x14ac:dyDescent="0.2">
      <c r="A15" s="41">
        <v>13.435</v>
      </c>
      <c r="B15" s="41">
        <v>16.564</v>
      </c>
      <c r="C15" s="41">
        <v>20.666</v>
      </c>
      <c r="D15" s="41">
        <v>15.074</v>
      </c>
      <c r="E15" s="41">
        <v>19.449000000000002</v>
      </c>
      <c r="F15" s="41">
        <v>15.513999999999999</v>
      </c>
      <c r="G15" s="41">
        <v>16.782</v>
      </c>
      <c r="H15" s="41">
        <v>16.667000000000002</v>
      </c>
      <c r="I15" s="41">
        <v>15.484999999999999</v>
      </c>
      <c r="J15" s="41">
        <v>19.129000000000001</v>
      </c>
      <c r="K15" s="41">
        <v>21.137</v>
      </c>
      <c r="L15" s="41">
        <v>21.1</v>
      </c>
      <c r="M15" s="41">
        <v>21.213999999999999</v>
      </c>
      <c r="N15" s="41">
        <v>24.120999999999999</v>
      </c>
      <c r="O15" s="41">
        <v>21.343</v>
      </c>
      <c r="P15" s="41">
        <v>16.814</v>
      </c>
      <c r="Q15" s="41">
        <v>18.007999999999999</v>
      </c>
      <c r="R15" s="41">
        <v>20.515999999999998</v>
      </c>
    </row>
    <row r="16" spans="1:23" x14ac:dyDescent="0.2">
      <c r="A16" s="41">
        <v>18.689</v>
      </c>
      <c r="B16" s="41">
        <v>19.754000000000001</v>
      </c>
      <c r="C16" s="41">
        <v>21.231999999999999</v>
      </c>
      <c r="D16" s="41">
        <v>18.486999999999998</v>
      </c>
      <c r="E16" s="41">
        <v>17.288</v>
      </c>
      <c r="F16" s="41">
        <v>16.332000000000001</v>
      </c>
      <c r="G16" s="41">
        <v>17.664000000000001</v>
      </c>
      <c r="H16" s="41">
        <v>13.263999999999999</v>
      </c>
      <c r="I16" s="41">
        <v>18.891999999999999</v>
      </c>
      <c r="J16" s="41">
        <v>16.187999999999999</v>
      </c>
      <c r="K16" s="41">
        <v>21.137</v>
      </c>
      <c r="L16" s="41">
        <v>20.481999999999999</v>
      </c>
      <c r="M16" s="41">
        <v>22.457999999999998</v>
      </c>
      <c r="N16" s="41">
        <v>22.702999999999999</v>
      </c>
      <c r="O16" s="41">
        <v>20.527999999999999</v>
      </c>
      <c r="P16" s="41">
        <v>18.091999999999999</v>
      </c>
      <c r="Q16" s="41">
        <v>19.669</v>
      </c>
      <c r="R16" s="41">
        <v>20.376999999999999</v>
      </c>
    </row>
    <row r="17" spans="1:18" x14ac:dyDescent="0.2">
      <c r="A17" s="41">
        <v>17.302</v>
      </c>
      <c r="B17" s="41">
        <v>10.307</v>
      </c>
      <c r="C17" s="41">
        <v>20.51</v>
      </c>
      <c r="D17" s="41">
        <v>16.125</v>
      </c>
      <c r="E17" s="41">
        <v>14.846</v>
      </c>
      <c r="F17" s="41">
        <v>14.491</v>
      </c>
      <c r="G17" s="41">
        <v>18.643000000000001</v>
      </c>
      <c r="H17" s="41">
        <v>20.164000000000001</v>
      </c>
      <c r="I17" s="41">
        <v>23.376000000000001</v>
      </c>
      <c r="J17" s="41">
        <v>22.689</v>
      </c>
      <c r="K17" s="41">
        <v>24.006</v>
      </c>
      <c r="L17" s="41">
        <v>23.122</v>
      </c>
      <c r="M17" s="41">
        <v>17.724</v>
      </c>
      <c r="N17" s="41">
        <v>28.934000000000001</v>
      </c>
      <c r="O17" s="41">
        <v>19.763000000000002</v>
      </c>
      <c r="P17" s="41">
        <v>15.606</v>
      </c>
      <c r="Q17" s="41">
        <v>23.305</v>
      </c>
      <c r="R17" s="41">
        <v>32.206000000000003</v>
      </c>
    </row>
    <row r="18" spans="1:18" x14ac:dyDescent="0.2">
      <c r="A18" s="41">
        <v>19.521000000000001</v>
      </c>
      <c r="B18" s="41">
        <v>16.302</v>
      </c>
      <c r="C18" s="41">
        <v>17.640999999999998</v>
      </c>
      <c r="D18" s="41">
        <v>19.681000000000001</v>
      </c>
      <c r="E18" s="41">
        <v>16.937000000000001</v>
      </c>
      <c r="F18" s="41">
        <v>18.734999999999999</v>
      </c>
      <c r="G18" s="41">
        <v>17.059999999999999</v>
      </c>
      <c r="H18" s="41">
        <v>21.949000000000002</v>
      </c>
      <c r="I18" s="41">
        <v>16.556999999999999</v>
      </c>
      <c r="J18" s="41">
        <v>13.968999999999999</v>
      </c>
      <c r="K18" s="41">
        <v>23.047999999999998</v>
      </c>
      <c r="L18" s="41">
        <v>23.620999999999999</v>
      </c>
      <c r="M18" s="41">
        <v>20.542999999999999</v>
      </c>
      <c r="N18" s="41">
        <v>18.542000000000002</v>
      </c>
      <c r="O18" s="41">
        <v>21.643999999999998</v>
      </c>
      <c r="P18" s="41">
        <v>17.481999999999999</v>
      </c>
      <c r="Q18" s="41">
        <v>21.803999999999998</v>
      </c>
      <c r="R18" s="41">
        <v>24.257000000000001</v>
      </c>
    </row>
    <row r="19" spans="1:18" x14ac:dyDescent="0.2">
      <c r="A19" s="41">
        <v>18.353999999999999</v>
      </c>
      <c r="B19" s="41">
        <v>18.082000000000001</v>
      </c>
      <c r="C19" s="41">
        <v>17.289000000000001</v>
      </c>
      <c r="D19" s="41">
        <v>20.172000000000001</v>
      </c>
      <c r="E19" s="41">
        <v>18.974</v>
      </c>
      <c r="F19" s="41">
        <v>16.213999999999999</v>
      </c>
      <c r="G19" s="41">
        <v>15.923</v>
      </c>
      <c r="H19" s="41">
        <v>14.266</v>
      </c>
      <c r="I19" s="41">
        <v>19.852</v>
      </c>
      <c r="J19" s="41">
        <v>21.992000000000001</v>
      </c>
      <c r="K19" s="41">
        <v>19.483000000000001</v>
      </c>
      <c r="L19" s="41">
        <v>25.06</v>
      </c>
      <c r="M19" s="41">
        <v>21.148</v>
      </c>
      <c r="N19" s="41">
        <v>21.576000000000001</v>
      </c>
      <c r="O19" s="41">
        <v>19.381</v>
      </c>
      <c r="P19" s="41">
        <v>21.591000000000001</v>
      </c>
      <c r="Q19" s="41">
        <v>22.442</v>
      </c>
      <c r="R19" s="41">
        <v>20.655000000000001</v>
      </c>
    </row>
    <row r="20" spans="1:18" x14ac:dyDescent="0.2">
      <c r="A20" s="41">
        <v>14.023</v>
      </c>
      <c r="B20" s="41">
        <v>22.853999999999999</v>
      </c>
      <c r="C20" s="41">
        <v>20.125</v>
      </c>
      <c r="D20" s="41">
        <v>15.103</v>
      </c>
      <c r="E20" s="41">
        <v>16.245000000000001</v>
      </c>
      <c r="F20" s="41">
        <v>19.033000000000001</v>
      </c>
      <c r="G20" s="41">
        <v>18.654</v>
      </c>
      <c r="H20" s="41">
        <v>23.811</v>
      </c>
      <c r="I20" s="41">
        <v>20.228999999999999</v>
      </c>
      <c r="J20" s="41">
        <v>18.611999999999998</v>
      </c>
      <c r="K20" s="41">
        <v>24.428999999999998</v>
      </c>
      <c r="L20" s="41">
        <v>16.706</v>
      </c>
      <c r="M20" s="41">
        <v>21.544</v>
      </c>
      <c r="N20" s="41">
        <v>22.893000000000001</v>
      </c>
      <c r="O20" s="41">
        <v>24.029</v>
      </c>
      <c r="P20" s="41">
        <v>16.399999999999999</v>
      </c>
      <c r="Q20" s="41">
        <v>17.940000000000001</v>
      </c>
      <c r="R20" s="41">
        <v>19.477</v>
      </c>
    </row>
    <row r="21" spans="1:18" x14ac:dyDescent="0.2">
      <c r="A21" s="41">
        <v>14.384</v>
      </c>
      <c r="B21" s="41">
        <v>17.178000000000001</v>
      </c>
      <c r="C21" s="41">
        <v>16.861999999999998</v>
      </c>
      <c r="D21" s="41">
        <v>21.507999999999999</v>
      </c>
      <c r="E21" s="41">
        <v>13.888</v>
      </c>
      <c r="F21" s="41">
        <v>16.484000000000002</v>
      </c>
      <c r="G21" s="41">
        <v>14.426</v>
      </c>
      <c r="H21" s="41">
        <v>17.757000000000001</v>
      </c>
      <c r="I21" s="41">
        <v>23.733000000000001</v>
      </c>
      <c r="J21" s="41">
        <v>25.152999999999999</v>
      </c>
      <c r="K21" s="41">
        <v>22.065000000000001</v>
      </c>
      <c r="L21" s="41">
        <v>21.081</v>
      </c>
      <c r="M21" s="41">
        <v>20.7</v>
      </c>
      <c r="N21" s="41">
        <v>22.486000000000001</v>
      </c>
      <c r="O21" s="41">
        <v>20.507999999999999</v>
      </c>
      <c r="P21" s="41">
        <v>18.271999999999998</v>
      </c>
      <c r="Q21" s="41">
        <v>19.411000000000001</v>
      </c>
      <c r="R21" s="41">
        <v>19.966999999999999</v>
      </c>
    </row>
    <row r="22" spans="1:18" x14ac:dyDescent="0.2">
      <c r="A22" s="41">
        <v>13.920999999999999</v>
      </c>
      <c r="B22" s="41">
        <v>19.917000000000002</v>
      </c>
      <c r="C22" s="41">
        <v>25.030999999999999</v>
      </c>
      <c r="D22" s="41">
        <v>16.515999999999998</v>
      </c>
      <c r="E22" s="41">
        <v>16.047999999999998</v>
      </c>
      <c r="F22" s="41">
        <v>14.654</v>
      </c>
      <c r="G22" s="41">
        <v>19.971</v>
      </c>
      <c r="H22" s="41">
        <v>14.27</v>
      </c>
      <c r="I22" s="41">
        <v>15.965999999999999</v>
      </c>
      <c r="J22" s="41">
        <v>20.904</v>
      </c>
      <c r="K22" s="41">
        <v>22.425000000000001</v>
      </c>
      <c r="L22" s="41">
        <v>15.756</v>
      </c>
      <c r="M22" s="41">
        <v>24.443999999999999</v>
      </c>
      <c r="N22" s="41">
        <v>19.062999999999999</v>
      </c>
      <c r="O22" s="41">
        <v>18.010999999999999</v>
      </c>
      <c r="P22" s="41">
        <v>17.698</v>
      </c>
      <c r="Q22" s="41">
        <v>18.373000000000001</v>
      </c>
      <c r="R22" s="41">
        <v>14.88</v>
      </c>
    </row>
    <row r="23" spans="1:18" x14ac:dyDescent="0.2">
      <c r="A23" s="41">
        <v>14.467000000000001</v>
      </c>
      <c r="B23" s="41">
        <v>21.329000000000001</v>
      </c>
      <c r="C23" s="41">
        <v>18.372</v>
      </c>
      <c r="D23" s="41">
        <v>17.251999999999999</v>
      </c>
      <c r="E23" s="41">
        <v>15.204000000000001</v>
      </c>
      <c r="F23" s="41">
        <v>14.276</v>
      </c>
      <c r="G23" s="41">
        <v>18.744</v>
      </c>
      <c r="H23" s="41">
        <v>17.3</v>
      </c>
      <c r="I23" s="41">
        <v>18.524999999999999</v>
      </c>
      <c r="J23" s="41">
        <v>24.044</v>
      </c>
      <c r="K23" s="41">
        <v>19.635000000000002</v>
      </c>
      <c r="L23" s="41">
        <v>23.263999999999999</v>
      </c>
      <c r="M23" s="41">
        <v>19.783000000000001</v>
      </c>
      <c r="N23" s="41">
        <v>18.215</v>
      </c>
      <c r="O23" s="41">
        <v>18.497</v>
      </c>
      <c r="P23" s="41">
        <v>14.755000000000001</v>
      </c>
      <c r="Q23" s="41">
        <v>21.102</v>
      </c>
      <c r="R23" s="41">
        <v>18.529</v>
      </c>
    </row>
    <row r="24" spans="1:18" x14ac:dyDescent="0.2">
      <c r="A24" s="41">
        <v>15.728999999999999</v>
      </c>
      <c r="B24" s="41">
        <v>18.675000000000001</v>
      </c>
      <c r="C24" s="41">
        <v>20.693000000000001</v>
      </c>
      <c r="D24" s="41">
        <v>15.493</v>
      </c>
      <c r="E24" s="41">
        <v>13.846</v>
      </c>
      <c r="F24" s="41">
        <v>18.042999999999999</v>
      </c>
      <c r="G24" s="41">
        <v>16.725000000000001</v>
      </c>
      <c r="H24" s="41">
        <v>20.138999999999999</v>
      </c>
      <c r="I24" s="41">
        <v>16.646999999999998</v>
      </c>
      <c r="J24" s="41">
        <v>18.861000000000001</v>
      </c>
      <c r="K24" s="41">
        <v>25.04</v>
      </c>
      <c r="L24" s="41">
        <v>18.077999999999999</v>
      </c>
      <c r="M24" s="41">
        <v>25.32</v>
      </c>
      <c r="N24" s="41">
        <v>24.736999999999998</v>
      </c>
      <c r="O24" s="41">
        <v>13.897</v>
      </c>
      <c r="P24" s="41">
        <v>15.058999999999999</v>
      </c>
      <c r="Q24" s="41">
        <v>16.824999999999999</v>
      </c>
      <c r="R24" s="41">
        <v>18.684999999999999</v>
      </c>
    </row>
    <row r="25" spans="1:18" x14ac:dyDescent="0.2">
      <c r="A25" s="41">
        <v>17.026</v>
      </c>
      <c r="B25" s="41">
        <v>20.62</v>
      </c>
      <c r="C25" s="41">
        <v>24.637</v>
      </c>
      <c r="D25" s="41">
        <v>14.417999999999999</v>
      </c>
      <c r="E25" s="41">
        <v>17.523</v>
      </c>
      <c r="F25" s="41">
        <v>17.553999999999998</v>
      </c>
      <c r="G25" s="41">
        <v>17.271000000000001</v>
      </c>
      <c r="H25" s="41">
        <v>17.404</v>
      </c>
      <c r="I25" s="41">
        <v>22.856000000000002</v>
      </c>
      <c r="J25" s="41">
        <v>14.272</v>
      </c>
      <c r="K25" s="41">
        <v>19.902000000000001</v>
      </c>
      <c r="L25" s="41">
        <v>24.689</v>
      </c>
      <c r="M25" s="41">
        <v>23.08</v>
      </c>
      <c r="N25" s="41">
        <v>20.222999999999999</v>
      </c>
      <c r="O25" s="41">
        <v>17.670999999999999</v>
      </c>
      <c r="P25" s="41">
        <v>11.951000000000001</v>
      </c>
      <c r="Q25" s="41">
        <v>22.1</v>
      </c>
      <c r="R25" s="41">
        <v>16.018999999999998</v>
      </c>
    </row>
    <row r="26" spans="1:18" x14ac:dyDescent="0.2">
      <c r="A26" s="41">
        <v>16.765999999999998</v>
      </c>
      <c r="B26" s="41">
        <v>19.873000000000001</v>
      </c>
      <c r="C26" s="41">
        <v>21.233000000000001</v>
      </c>
      <c r="D26" s="41">
        <v>15.186999999999999</v>
      </c>
      <c r="E26" s="41">
        <v>21.75</v>
      </c>
      <c r="F26" s="41">
        <v>16.268999999999998</v>
      </c>
      <c r="G26" s="41">
        <v>17.282</v>
      </c>
      <c r="H26" s="41">
        <v>17.501000000000001</v>
      </c>
      <c r="I26" s="41">
        <v>25.641999999999999</v>
      </c>
      <c r="J26" s="41">
        <v>18.863</v>
      </c>
      <c r="K26" s="41">
        <v>21.28</v>
      </c>
      <c r="L26" s="41">
        <v>20.268000000000001</v>
      </c>
      <c r="M26" s="41">
        <v>17.111999999999998</v>
      </c>
      <c r="N26" s="41">
        <v>21.181000000000001</v>
      </c>
      <c r="O26" s="41">
        <v>19.638999999999999</v>
      </c>
      <c r="P26" s="41">
        <v>11.760999999999999</v>
      </c>
      <c r="Q26" s="41">
        <v>21.757999999999999</v>
      </c>
      <c r="R26" s="41">
        <v>21.542000000000002</v>
      </c>
    </row>
    <row r="27" spans="1:18" x14ac:dyDescent="0.2">
      <c r="A27" s="41">
        <v>14.967000000000001</v>
      </c>
      <c r="B27" s="41">
        <v>14.951000000000001</v>
      </c>
      <c r="C27" s="41">
        <v>18.186</v>
      </c>
      <c r="D27" s="41">
        <v>16.099</v>
      </c>
      <c r="E27" s="41">
        <v>20.358000000000001</v>
      </c>
      <c r="F27" s="41">
        <v>16.276</v>
      </c>
      <c r="G27" s="41">
        <v>13.651</v>
      </c>
      <c r="H27" s="41">
        <v>18.568000000000001</v>
      </c>
      <c r="I27" s="41">
        <v>22.978999999999999</v>
      </c>
      <c r="J27" s="41">
        <v>20.004999999999999</v>
      </c>
      <c r="K27" s="41">
        <v>13.3</v>
      </c>
      <c r="L27" s="41">
        <v>14.936999999999999</v>
      </c>
      <c r="M27" s="41">
        <v>22.474</v>
      </c>
      <c r="N27" s="41">
        <v>24.47</v>
      </c>
      <c r="O27" s="41">
        <v>14.385</v>
      </c>
      <c r="P27" s="41">
        <v>16.681000000000001</v>
      </c>
      <c r="Q27" s="41">
        <v>24.109000000000002</v>
      </c>
      <c r="R27" s="41">
        <v>22.106999999999999</v>
      </c>
    </row>
    <row r="28" spans="1:18" x14ac:dyDescent="0.2">
      <c r="A28" s="41">
        <v>18.588000000000001</v>
      </c>
      <c r="B28" s="41">
        <v>14.643000000000001</v>
      </c>
      <c r="C28" s="41">
        <v>17.434000000000001</v>
      </c>
      <c r="D28" s="41">
        <v>15.666</v>
      </c>
      <c r="E28" s="41">
        <v>19.771000000000001</v>
      </c>
      <c r="F28" s="41">
        <v>18.716000000000001</v>
      </c>
      <c r="G28" s="41">
        <v>15.97</v>
      </c>
      <c r="H28" s="41">
        <v>15.7</v>
      </c>
      <c r="I28" s="41">
        <v>22.382999999999999</v>
      </c>
      <c r="J28" s="41">
        <v>26.169</v>
      </c>
      <c r="K28" s="41">
        <v>18.324000000000002</v>
      </c>
      <c r="L28" s="41">
        <v>19.148</v>
      </c>
      <c r="M28" s="41">
        <v>22.082000000000001</v>
      </c>
      <c r="N28" s="41">
        <v>19.920000000000002</v>
      </c>
      <c r="O28" s="41">
        <v>18.087</v>
      </c>
      <c r="P28" s="41">
        <v>15.439</v>
      </c>
      <c r="Q28" s="41">
        <v>15.840999999999999</v>
      </c>
      <c r="R28" s="41">
        <v>19.434999999999999</v>
      </c>
    </row>
    <row r="29" spans="1:18" x14ac:dyDescent="0.2">
      <c r="A29" s="41">
        <v>19.712</v>
      </c>
      <c r="B29" s="41">
        <v>16.859000000000002</v>
      </c>
      <c r="C29" s="41">
        <v>23.573</v>
      </c>
      <c r="D29" s="41">
        <v>17.963000000000001</v>
      </c>
      <c r="E29" s="41">
        <v>19.414999999999999</v>
      </c>
      <c r="F29" s="41">
        <v>21.649000000000001</v>
      </c>
      <c r="G29" s="41">
        <v>19.757999999999999</v>
      </c>
      <c r="H29" s="41">
        <v>18.279</v>
      </c>
      <c r="I29" s="41">
        <v>18.093</v>
      </c>
      <c r="J29" s="41">
        <v>22.652000000000001</v>
      </c>
      <c r="K29" s="41">
        <v>20.603999999999999</v>
      </c>
      <c r="L29" s="41">
        <v>19.643999999999998</v>
      </c>
      <c r="M29" s="41">
        <v>19.925999999999998</v>
      </c>
      <c r="N29" s="41">
        <v>19.739000000000001</v>
      </c>
      <c r="O29" s="41">
        <v>18.099</v>
      </c>
      <c r="P29" s="41"/>
      <c r="Q29" s="41">
        <v>26.731999999999999</v>
      </c>
      <c r="R29" s="41">
        <v>22.071000000000002</v>
      </c>
    </row>
    <row r="30" spans="1:18" x14ac:dyDescent="0.2">
      <c r="A30" s="41">
        <v>19.623999999999999</v>
      </c>
      <c r="B30" s="41">
        <v>17.550999999999998</v>
      </c>
      <c r="C30" s="41">
        <v>20.748000000000001</v>
      </c>
      <c r="D30" s="41">
        <v>20.963999999999999</v>
      </c>
      <c r="E30" s="41">
        <v>16.128</v>
      </c>
      <c r="F30" s="41">
        <v>20.661999999999999</v>
      </c>
      <c r="G30" s="41">
        <v>16.079999999999998</v>
      </c>
      <c r="H30" s="41">
        <v>17.268000000000001</v>
      </c>
      <c r="I30" s="41">
        <v>23.161999999999999</v>
      </c>
      <c r="J30" s="41">
        <v>24.84</v>
      </c>
      <c r="K30" s="41">
        <v>21.876999999999999</v>
      </c>
      <c r="L30" s="41">
        <v>19.434999999999999</v>
      </c>
      <c r="M30" s="41">
        <v>21.678000000000001</v>
      </c>
      <c r="N30" s="41">
        <v>20.085999999999999</v>
      </c>
      <c r="O30" s="41">
        <v>21.14</v>
      </c>
      <c r="P30" s="41"/>
      <c r="Q30" s="41">
        <v>23.24</v>
      </c>
      <c r="R30" s="41">
        <v>17.399000000000001</v>
      </c>
    </row>
    <row r="31" spans="1:18" x14ac:dyDescent="0.2">
      <c r="A31" s="41">
        <v>18.140999999999998</v>
      </c>
      <c r="B31" s="41">
        <v>18.2</v>
      </c>
      <c r="C31" s="41">
        <v>16.888000000000002</v>
      </c>
      <c r="D31" s="41">
        <v>16.873999999999999</v>
      </c>
      <c r="E31" s="41">
        <v>18.498000000000001</v>
      </c>
      <c r="F31" s="41">
        <v>17.713000000000001</v>
      </c>
      <c r="G31" s="41">
        <v>20.864999999999998</v>
      </c>
      <c r="H31" s="41">
        <v>12.871</v>
      </c>
      <c r="I31" s="41">
        <v>17.538</v>
      </c>
      <c r="J31" s="41">
        <v>18.143999999999998</v>
      </c>
      <c r="K31" s="41">
        <v>22.477</v>
      </c>
      <c r="L31" s="41">
        <v>20.852</v>
      </c>
      <c r="M31" s="41">
        <v>16.779</v>
      </c>
      <c r="N31" s="41">
        <v>19.239000000000001</v>
      </c>
      <c r="O31" s="41">
        <v>25.914000000000001</v>
      </c>
      <c r="P31" s="41"/>
      <c r="Q31" s="41"/>
      <c r="R31" s="41">
        <v>17.965</v>
      </c>
    </row>
    <row r="32" spans="1:18" x14ac:dyDescent="0.2">
      <c r="A32" s="41">
        <v>15.087</v>
      </c>
      <c r="B32" s="41">
        <v>20.012</v>
      </c>
      <c r="C32" s="41">
        <v>18.225999999999999</v>
      </c>
      <c r="D32" s="41">
        <v>15.308</v>
      </c>
      <c r="E32" s="41">
        <v>19.381</v>
      </c>
      <c r="F32" s="41">
        <v>18.826000000000001</v>
      </c>
      <c r="G32" s="41">
        <v>17.832000000000001</v>
      </c>
      <c r="H32" s="41">
        <v>15.75</v>
      </c>
      <c r="I32" s="41">
        <v>19.032</v>
      </c>
      <c r="J32" s="41">
        <v>20.004999999999999</v>
      </c>
      <c r="K32" s="41">
        <v>20.289000000000001</v>
      </c>
      <c r="L32" s="41">
        <v>17.518999999999998</v>
      </c>
      <c r="M32" s="41">
        <v>21.67</v>
      </c>
      <c r="N32" s="41">
        <v>19.513000000000002</v>
      </c>
      <c r="O32" s="41">
        <v>18.962</v>
      </c>
      <c r="P32" s="41"/>
      <c r="Q32" s="41"/>
      <c r="R32" s="41">
        <v>19.53</v>
      </c>
    </row>
    <row r="33" spans="1:18" x14ac:dyDescent="0.2">
      <c r="A33" s="41">
        <v>20.248999999999999</v>
      </c>
      <c r="B33" s="41">
        <v>17.556000000000001</v>
      </c>
      <c r="C33" s="41">
        <v>19.533999999999999</v>
      </c>
      <c r="D33" s="41">
        <v>14.516</v>
      </c>
      <c r="E33" s="41">
        <v>19.404</v>
      </c>
      <c r="F33" s="41">
        <v>19.213999999999999</v>
      </c>
      <c r="G33" s="41">
        <v>17.007000000000001</v>
      </c>
      <c r="H33" s="41">
        <v>16.940000000000001</v>
      </c>
      <c r="I33" s="41">
        <v>18.221</v>
      </c>
      <c r="J33" s="41">
        <v>16.123999999999999</v>
      </c>
      <c r="K33" s="41">
        <v>20.738</v>
      </c>
      <c r="L33" s="41">
        <v>24.015000000000001</v>
      </c>
      <c r="M33" s="41">
        <v>20.268999999999998</v>
      </c>
      <c r="N33" s="41">
        <v>18.132000000000001</v>
      </c>
      <c r="O33" s="41">
        <v>17.599</v>
      </c>
      <c r="P33" s="41"/>
      <c r="Q33" s="41"/>
      <c r="R33" s="41">
        <v>19.074000000000002</v>
      </c>
    </row>
    <row r="34" spans="1:18" x14ac:dyDescent="0.2">
      <c r="A34" s="41">
        <v>23.518999999999998</v>
      </c>
      <c r="B34" s="41">
        <v>17.081</v>
      </c>
      <c r="C34" s="41">
        <v>18.972999999999999</v>
      </c>
      <c r="D34" s="41">
        <v>18.347000000000001</v>
      </c>
      <c r="E34" s="41">
        <v>22.312000000000001</v>
      </c>
      <c r="F34" s="41">
        <v>15.654999999999999</v>
      </c>
      <c r="G34" s="41">
        <v>18.826000000000001</v>
      </c>
      <c r="H34" s="41">
        <v>18.254999999999999</v>
      </c>
      <c r="I34" s="41">
        <v>19.466999999999999</v>
      </c>
      <c r="J34" s="41">
        <v>15.696</v>
      </c>
      <c r="K34" s="41">
        <v>18.29</v>
      </c>
      <c r="L34" s="41">
        <v>20.423999999999999</v>
      </c>
      <c r="M34" s="41">
        <v>16.988</v>
      </c>
      <c r="N34" s="41">
        <v>21.370999999999999</v>
      </c>
      <c r="O34" s="41">
        <v>19.731999999999999</v>
      </c>
      <c r="P34" s="41"/>
      <c r="Q34" s="41"/>
      <c r="R34" s="41">
        <v>15.593</v>
      </c>
    </row>
    <row r="35" spans="1:18" x14ac:dyDescent="0.2">
      <c r="A35" s="41">
        <v>20.495000000000001</v>
      </c>
      <c r="B35" s="41">
        <v>21.213000000000001</v>
      </c>
      <c r="C35" s="41"/>
      <c r="D35" s="41">
        <v>14.093</v>
      </c>
      <c r="E35" s="41">
        <v>19.007999999999999</v>
      </c>
      <c r="F35" s="41">
        <v>20.652999999999999</v>
      </c>
      <c r="G35" s="41">
        <v>15.445</v>
      </c>
      <c r="H35" s="41">
        <v>17.672000000000001</v>
      </c>
      <c r="I35" s="41">
        <v>18.119</v>
      </c>
      <c r="J35" s="41">
        <v>23.289000000000001</v>
      </c>
      <c r="K35" s="41">
        <v>26.372</v>
      </c>
      <c r="L35" s="41">
        <v>18.905999999999999</v>
      </c>
      <c r="M35" s="41">
        <v>21.145</v>
      </c>
      <c r="N35" s="41">
        <v>20.858000000000001</v>
      </c>
      <c r="O35" s="41">
        <v>19.942</v>
      </c>
      <c r="P35" s="41"/>
      <c r="Q35" s="41"/>
      <c r="R35" s="41">
        <v>17.77</v>
      </c>
    </row>
    <row r="36" spans="1:18" x14ac:dyDescent="0.2">
      <c r="A36" s="41">
        <v>16.689</v>
      </c>
      <c r="B36" s="41">
        <v>21.285</v>
      </c>
      <c r="C36" s="41"/>
      <c r="D36" s="41">
        <v>15.831</v>
      </c>
      <c r="E36" s="41">
        <v>23.17</v>
      </c>
      <c r="F36" s="41">
        <v>24.218</v>
      </c>
      <c r="G36" s="41">
        <v>20.39</v>
      </c>
      <c r="H36" s="41"/>
      <c r="I36" s="41">
        <v>13.404999999999999</v>
      </c>
      <c r="J36" s="41">
        <v>18.875</v>
      </c>
      <c r="K36" s="41">
        <v>20.626999999999999</v>
      </c>
      <c r="L36" s="41">
        <v>19.552</v>
      </c>
      <c r="M36" s="41">
        <v>19.696999999999999</v>
      </c>
      <c r="N36" s="41">
        <v>23.952999999999999</v>
      </c>
      <c r="O36" s="41">
        <v>22.669</v>
      </c>
      <c r="P36" s="41"/>
      <c r="Q36" s="41"/>
      <c r="R36" s="41">
        <v>19.013000000000002</v>
      </c>
    </row>
    <row r="37" spans="1:18" x14ac:dyDescent="0.2">
      <c r="A37" s="41">
        <v>18.271000000000001</v>
      </c>
      <c r="B37" s="41">
        <v>18.870999999999999</v>
      </c>
      <c r="C37" s="41"/>
      <c r="D37" s="41">
        <v>20.818000000000001</v>
      </c>
      <c r="E37" s="41">
        <v>18.510999999999999</v>
      </c>
      <c r="F37" s="41">
        <v>24.556999999999999</v>
      </c>
      <c r="G37" s="41">
        <v>20.295999999999999</v>
      </c>
      <c r="H37" s="41"/>
      <c r="I37" s="41">
        <v>13.061999999999999</v>
      </c>
      <c r="J37" s="41"/>
      <c r="K37" s="41">
        <v>21.981000000000002</v>
      </c>
      <c r="L37" s="41">
        <v>22.004999999999999</v>
      </c>
      <c r="M37" s="41">
        <v>20.143000000000001</v>
      </c>
      <c r="N37" s="41">
        <v>19.295000000000002</v>
      </c>
      <c r="O37" s="41">
        <v>15.63</v>
      </c>
      <c r="P37" s="41"/>
      <c r="Q37" s="41"/>
      <c r="R37" s="41">
        <v>18.173999999999999</v>
      </c>
    </row>
    <row r="38" spans="1:18" x14ac:dyDescent="0.2">
      <c r="A38" s="41">
        <v>20.285</v>
      </c>
      <c r="B38" s="41">
        <v>18.571000000000002</v>
      </c>
      <c r="C38" s="41"/>
      <c r="D38" s="41">
        <v>21.126000000000001</v>
      </c>
      <c r="E38" s="41">
        <v>21.170999999999999</v>
      </c>
      <c r="F38" s="41">
        <v>17.780999999999999</v>
      </c>
      <c r="G38" s="41">
        <v>18.57</v>
      </c>
      <c r="H38" s="41"/>
      <c r="I38" s="41">
        <v>18.59</v>
      </c>
      <c r="J38" s="41"/>
      <c r="K38" s="41">
        <v>17.707999999999998</v>
      </c>
      <c r="L38" s="41">
        <v>21.401</v>
      </c>
      <c r="M38" s="41">
        <v>21.004000000000001</v>
      </c>
      <c r="N38" s="41">
        <v>23.079000000000001</v>
      </c>
      <c r="O38" s="41">
        <v>22.16</v>
      </c>
      <c r="P38" s="41"/>
      <c r="Q38" s="41"/>
      <c r="R38" s="41">
        <v>19.327000000000002</v>
      </c>
    </row>
    <row r="39" spans="1:18" x14ac:dyDescent="0.2">
      <c r="A39" s="41">
        <v>18.861000000000001</v>
      </c>
      <c r="B39" s="41">
        <v>17.831</v>
      </c>
      <c r="C39" s="41"/>
      <c r="D39" s="41">
        <v>16.779</v>
      </c>
      <c r="E39" s="41">
        <v>16.489000000000001</v>
      </c>
      <c r="F39" s="41">
        <v>23.23</v>
      </c>
      <c r="G39" s="41">
        <v>17.814</v>
      </c>
      <c r="H39" s="41"/>
      <c r="I39" s="41"/>
      <c r="J39" s="41"/>
      <c r="K39" s="41">
        <v>25.928000000000001</v>
      </c>
      <c r="L39" s="41">
        <v>20.010999999999999</v>
      </c>
      <c r="M39" s="41">
        <v>24.077000000000002</v>
      </c>
      <c r="N39" s="41">
        <v>21.277999999999999</v>
      </c>
      <c r="O39" s="41">
        <v>18.23</v>
      </c>
      <c r="P39" s="41"/>
      <c r="Q39" s="41"/>
      <c r="R39" s="41">
        <v>26.007000000000001</v>
      </c>
    </row>
    <row r="40" spans="1:18" x14ac:dyDescent="0.2">
      <c r="A40" s="41">
        <v>14.651999999999999</v>
      </c>
      <c r="B40" s="41">
        <v>25.238</v>
      </c>
      <c r="C40" s="41"/>
      <c r="D40" s="41">
        <v>18.718</v>
      </c>
      <c r="E40" s="41">
        <v>23.526</v>
      </c>
      <c r="F40" s="41">
        <v>21.413</v>
      </c>
      <c r="G40" s="41">
        <v>15.625999999999999</v>
      </c>
      <c r="H40" s="41"/>
      <c r="I40" s="41"/>
      <c r="J40" s="41"/>
      <c r="K40" s="41">
        <v>18.411000000000001</v>
      </c>
      <c r="L40" s="41">
        <v>17.818999999999999</v>
      </c>
      <c r="M40" s="41">
        <v>21.408999999999999</v>
      </c>
      <c r="N40" s="41">
        <v>19.959</v>
      </c>
      <c r="O40" s="41">
        <v>21.193999999999999</v>
      </c>
      <c r="P40" s="41"/>
      <c r="Q40" s="41"/>
      <c r="R40" s="41">
        <v>27.780999999999999</v>
      </c>
    </row>
    <row r="41" spans="1:18" x14ac:dyDescent="0.2">
      <c r="A41" s="41">
        <v>16.93</v>
      </c>
      <c r="B41" s="41">
        <v>18.780999999999999</v>
      </c>
      <c r="C41" s="41"/>
      <c r="D41" s="41">
        <v>17.289000000000001</v>
      </c>
      <c r="E41" s="41">
        <v>19.477</v>
      </c>
      <c r="F41" s="41">
        <v>17.853999999999999</v>
      </c>
      <c r="G41" s="41">
        <v>12.647</v>
      </c>
      <c r="H41" s="41"/>
      <c r="I41" s="41"/>
      <c r="J41" s="41"/>
      <c r="K41" s="41">
        <v>21.238</v>
      </c>
      <c r="L41" s="41">
        <v>21.574000000000002</v>
      </c>
      <c r="M41" s="41">
        <v>21.006</v>
      </c>
      <c r="N41" s="41">
        <v>17.577000000000002</v>
      </c>
      <c r="O41" s="41">
        <v>24.204000000000001</v>
      </c>
      <c r="P41" s="41"/>
      <c r="Q41" s="41"/>
      <c r="R41" s="41">
        <v>23.472999999999999</v>
      </c>
    </row>
    <row r="42" spans="1:18" x14ac:dyDescent="0.2">
      <c r="A42" s="41">
        <v>18.582000000000001</v>
      </c>
      <c r="B42" s="41">
        <v>16.895</v>
      </c>
      <c r="C42" s="41"/>
      <c r="D42" s="41">
        <v>17.907</v>
      </c>
      <c r="E42" s="41">
        <v>22.35</v>
      </c>
      <c r="F42" s="41">
        <v>16.916</v>
      </c>
      <c r="G42" s="41">
        <v>15.484999999999999</v>
      </c>
      <c r="H42" s="41"/>
      <c r="I42" s="41"/>
      <c r="J42" s="41"/>
      <c r="K42" s="41">
        <v>25.901</v>
      </c>
      <c r="L42" s="41"/>
      <c r="M42" s="41">
        <v>21.997</v>
      </c>
      <c r="N42" s="41">
        <v>15.629</v>
      </c>
      <c r="O42" s="41">
        <v>20.484000000000002</v>
      </c>
      <c r="P42" s="41"/>
      <c r="Q42" s="41"/>
      <c r="R42" s="41">
        <v>18.157</v>
      </c>
    </row>
    <row r="43" spans="1:18" x14ac:dyDescent="0.2">
      <c r="A43" s="41">
        <v>21.782</v>
      </c>
      <c r="B43" s="41">
        <v>17.096</v>
      </c>
      <c r="C43" s="41"/>
      <c r="D43" s="41">
        <v>19.565999999999999</v>
      </c>
      <c r="E43" s="41">
        <v>22.922999999999998</v>
      </c>
      <c r="F43" s="41">
        <v>20.247</v>
      </c>
      <c r="G43" s="41">
        <v>19.119</v>
      </c>
      <c r="H43" s="41"/>
      <c r="I43" s="41"/>
      <c r="J43" s="41"/>
      <c r="K43" s="41">
        <v>30.576000000000001</v>
      </c>
      <c r="L43" s="41"/>
      <c r="M43" s="41">
        <v>19.443999999999999</v>
      </c>
      <c r="N43" s="41">
        <v>26.731999999999999</v>
      </c>
      <c r="O43" s="41">
        <v>21.675000000000001</v>
      </c>
      <c r="P43" s="41"/>
      <c r="Q43" s="41"/>
      <c r="R43" s="41">
        <v>20.731999999999999</v>
      </c>
    </row>
    <row r="44" spans="1:18" x14ac:dyDescent="0.2">
      <c r="A44" s="41">
        <v>17.446999999999999</v>
      </c>
      <c r="B44" s="41">
        <v>14.978</v>
      </c>
      <c r="C44" s="41"/>
      <c r="D44" s="41">
        <v>19.027000000000001</v>
      </c>
      <c r="E44" s="41">
        <v>20.212</v>
      </c>
      <c r="F44" s="41">
        <v>15.792</v>
      </c>
      <c r="G44" s="41">
        <v>14.145</v>
      </c>
      <c r="H44" s="41"/>
      <c r="I44" s="41"/>
      <c r="J44" s="41"/>
      <c r="K44" s="41">
        <v>23.931999999999999</v>
      </c>
      <c r="L44" s="41"/>
      <c r="M44" s="41">
        <v>19.672999999999998</v>
      </c>
      <c r="N44" s="41">
        <v>21.565000000000001</v>
      </c>
      <c r="O44" s="41">
        <v>20.937999999999999</v>
      </c>
      <c r="P44" s="41"/>
      <c r="Q44" s="41"/>
      <c r="R44" s="41">
        <v>16.349</v>
      </c>
    </row>
    <row r="45" spans="1:18" x14ac:dyDescent="0.2">
      <c r="A45" s="41">
        <v>18.488</v>
      </c>
      <c r="B45" s="41">
        <v>17.128</v>
      </c>
      <c r="C45" s="41"/>
      <c r="D45" s="41">
        <v>18.709</v>
      </c>
      <c r="E45" s="41">
        <v>21.087</v>
      </c>
      <c r="F45" s="41">
        <v>17.885000000000002</v>
      </c>
      <c r="G45" s="41">
        <v>15.061</v>
      </c>
      <c r="H45" s="41"/>
      <c r="I45" s="41"/>
      <c r="J45" s="41"/>
      <c r="K45" s="41">
        <v>19.885000000000002</v>
      </c>
      <c r="L45" s="41"/>
      <c r="M45" s="41">
        <v>19.454999999999998</v>
      </c>
      <c r="N45" s="41">
        <v>21.082999999999998</v>
      </c>
      <c r="O45" s="41">
        <v>20.213000000000001</v>
      </c>
      <c r="P45" s="41"/>
      <c r="Q45" s="41"/>
      <c r="R45" s="41">
        <v>19.864999999999998</v>
      </c>
    </row>
    <row r="46" spans="1:18" x14ac:dyDescent="0.2">
      <c r="A46" s="41">
        <v>16.305</v>
      </c>
      <c r="B46" s="41">
        <v>15.471</v>
      </c>
      <c r="C46" s="41"/>
      <c r="D46" s="41">
        <v>17.273</v>
      </c>
      <c r="E46" s="41">
        <v>18.437999999999999</v>
      </c>
      <c r="F46" s="41">
        <v>13.907</v>
      </c>
      <c r="G46" s="41"/>
      <c r="H46" s="41"/>
      <c r="I46" s="41"/>
      <c r="J46" s="41"/>
      <c r="K46" s="41">
        <v>19.315000000000001</v>
      </c>
      <c r="L46" s="41"/>
      <c r="M46" s="41">
        <v>19.908999999999999</v>
      </c>
      <c r="N46" s="41">
        <v>19.396999999999998</v>
      </c>
      <c r="O46" s="41">
        <v>20.785</v>
      </c>
      <c r="P46" s="41"/>
      <c r="Q46" s="41"/>
      <c r="R46" s="41">
        <v>21.007000000000001</v>
      </c>
    </row>
    <row r="47" spans="1:18" x14ac:dyDescent="0.2">
      <c r="A47" s="41">
        <v>20.16</v>
      </c>
      <c r="B47" s="41">
        <v>17.033000000000001</v>
      </c>
      <c r="C47" s="41"/>
      <c r="D47" s="41">
        <v>17.658999999999999</v>
      </c>
      <c r="E47" s="41">
        <v>17.661999999999999</v>
      </c>
      <c r="F47" s="41">
        <v>17.893000000000001</v>
      </c>
      <c r="G47" s="41"/>
      <c r="H47" s="41"/>
      <c r="I47" s="41"/>
      <c r="J47" s="41"/>
      <c r="K47" s="41">
        <v>16.763000000000002</v>
      </c>
      <c r="L47" s="41"/>
      <c r="M47" s="41">
        <v>19.062999999999999</v>
      </c>
      <c r="N47" s="41">
        <v>19.666</v>
      </c>
      <c r="O47" s="41">
        <v>23.983000000000001</v>
      </c>
      <c r="P47" s="41"/>
      <c r="Q47" s="41"/>
      <c r="R47" s="41">
        <v>20.611000000000001</v>
      </c>
    </row>
    <row r="48" spans="1:18" x14ac:dyDescent="0.2">
      <c r="A48" s="41"/>
      <c r="B48" s="41">
        <v>18.393999999999998</v>
      </c>
      <c r="C48" s="41"/>
      <c r="D48" s="41">
        <v>17.75</v>
      </c>
      <c r="E48" s="41">
        <v>13.984999999999999</v>
      </c>
      <c r="F48" s="41">
        <v>17.202999999999999</v>
      </c>
      <c r="G48" s="41"/>
      <c r="H48" s="41"/>
      <c r="I48" s="41"/>
      <c r="J48" s="41"/>
      <c r="K48" s="41">
        <v>22.616</v>
      </c>
      <c r="L48" s="41"/>
      <c r="M48" s="41">
        <v>20.22</v>
      </c>
      <c r="N48" s="41">
        <v>22.157</v>
      </c>
      <c r="O48" s="41">
        <v>19.445</v>
      </c>
      <c r="P48" s="41"/>
      <c r="Q48" s="41"/>
      <c r="R48" s="41">
        <v>18.059999999999999</v>
      </c>
    </row>
    <row r="49" spans="1:18" x14ac:dyDescent="0.2">
      <c r="A49" s="41"/>
      <c r="B49" s="41">
        <v>19.023</v>
      </c>
      <c r="C49" s="41"/>
      <c r="D49" s="41">
        <v>17.039000000000001</v>
      </c>
      <c r="E49" s="41">
        <v>14.942</v>
      </c>
      <c r="F49" s="41">
        <v>16.292000000000002</v>
      </c>
      <c r="G49" s="41"/>
      <c r="H49" s="41"/>
      <c r="I49" s="41"/>
      <c r="J49" s="41"/>
      <c r="K49" s="41">
        <v>21.2</v>
      </c>
      <c r="L49" s="41"/>
      <c r="M49" s="41">
        <v>20.085000000000001</v>
      </c>
      <c r="N49" s="41">
        <v>19.844999999999999</v>
      </c>
      <c r="O49" s="41">
        <v>27.393000000000001</v>
      </c>
      <c r="P49" s="41"/>
      <c r="Q49" s="41"/>
      <c r="R49" s="41">
        <v>21.189</v>
      </c>
    </row>
    <row r="50" spans="1:18" x14ac:dyDescent="0.2">
      <c r="A50" s="41"/>
      <c r="B50" s="41">
        <v>17.927</v>
      </c>
      <c r="C50" s="41"/>
      <c r="D50" s="41">
        <v>19.436</v>
      </c>
      <c r="E50" s="41">
        <v>15.584</v>
      </c>
      <c r="F50" s="41">
        <v>17.616</v>
      </c>
      <c r="G50" s="41"/>
      <c r="H50" s="41"/>
      <c r="I50" s="41"/>
      <c r="J50" s="41"/>
      <c r="K50" s="41">
        <v>20.806999999999999</v>
      </c>
      <c r="L50" s="41"/>
      <c r="M50" s="41">
        <v>20.318999999999999</v>
      </c>
      <c r="N50" s="41">
        <v>19.013000000000002</v>
      </c>
      <c r="O50" s="41">
        <v>21.849</v>
      </c>
      <c r="P50" s="41"/>
      <c r="Q50" s="41"/>
      <c r="R50" s="41">
        <v>17.545999999999999</v>
      </c>
    </row>
    <row r="51" spans="1:18" x14ac:dyDescent="0.2">
      <c r="A51" s="41"/>
      <c r="B51" s="41">
        <v>21.922999999999998</v>
      </c>
      <c r="C51" s="41"/>
      <c r="D51" s="41">
        <v>17.190999999999999</v>
      </c>
      <c r="E51" s="41">
        <v>15.835000000000001</v>
      </c>
      <c r="F51" s="41">
        <v>16.286000000000001</v>
      </c>
      <c r="G51" s="41"/>
      <c r="H51" s="41"/>
      <c r="I51" s="41"/>
      <c r="J51" s="41"/>
      <c r="K51" s="41">
        <v>20.698</v>
      </c>
      <c r="L51" s="41"/>
      <c r="M51" s="41">
        <v>22.492999999999999</v>
      </c>
      <c r="N51" s="41">
        <v>19.577000000000002</v>
      </c>
      <c r="O51" s="41">
        <v>18.943999999999999</v>
      </c>
      <c r="P51" s="41"/>
      <c r="Q51" s="41"/>
      <c r="R51" s="41">
        <v>17.361000000000001</v>
      </c>
    </row>
    <row r="52" spans="1:18" x14ac:dyDescent="0.2">
      <c r="A52" s="41"/>
      <c r="B52" s="41">
        <v>18.922999999999998</v>
      </c>
      <c r="C52" s="41"/>
      <c r="D52" s="41">
        <v>16.46</v>
      </c>
      <c r="E52" s="41">
        <v>19.085999999999999</v>
      </c>
      <c r="F52" s="41">
        <v>17.468</v>
      </c>
      <c r="G52" s="41"/>
      <c r="H52" s="41"/>
      <c r="I52" s="41"/>
      <c r="J52" s="41"/>
      <c r="K52" s="41">
        <v>20.518999999999998</v>
      </c>
      <c r="L52" s="41"/>
      <c r="M52" s="41">
        <v>20.314</v>
      </c>
      <c r="N52" s="41">
        <v>19.619</v>
      </c>
      <c r="O52" s="41">
        <v>18.449000000000002</v>
      </c>
      <c r="P52" s="41"/>
      <c r="Q52" s="41"/>
      <c r="R52" s="41"/>
    </row>
    <row r="53" spans="1:18" x14ac:dyDescent="0.2">
      <c r="A53" s="41"/>
      <c r="B53" s="41">
        <v>18.655000000000001</v>
      </c>
      <c r="C53" s="41"/>
      <c r="D53" s="41">
        <v>16.779</v>
      </c>
      <c r="E53" s="41">
        <v>19.277000000000001</v>
      </c>
      <c r="F53" s="41">
        <v>14.302</v>
      </c>
      <c r="G53" s="41"/>
      <c r="H53" s="41"/>
      <c r="I53" s="41"/>
      <c r="J53" s="41"/>
      <c r="K53" s="41">
        <v>17.641999999999999</v>
      </c>
      <c r="L53" s="41"/>
      <c r="M53" s="41">
        <v>20.931999999999999</v>
      </c>
      <c r="N53" s="41">
        <v>22.109000000000002</v>
      </c>
      <c r="O53" s="41">
        <v>19.981000000000002</v>
      </c>
      <c r="P53" s="41"/>
      <c r="Q53" s="41"/>
      <c r="R53" s="41"/>
    </row>
    <row r="54" spans="1:18" x14ac:dyDescent="0.2">
      <c r="A54" s="41"/>
      <c r="B54" s="41">
        <v>18.888000000000002</v>
      </c>
      <c r="C54" s="41"/>
      <c r="D54" s="41">
        <v>15.628</v>
      </c>
      <c r="E54" s="41">
        <v>18.527000000000001</v>
      </c>
      <c r="F54" s="41">
        <v>14.676</v>
      </c>
      <c r="G54" s="41"/>
      <c r="H54" s="41"/>
      <c r="I54" s="41"/>
      <c r="J54" s="41"/>
      <c r="K54" s="41">
        <v>21.664000000000001</v>
      </c>
      <c r="L54" s="41"/>
      <c r="M54" s="41">
        <v>17.141999999999999</v>
      </c>
      <c r="N54" s="41">
        <v>18.07</v>
      </c>
      <c r="O54" s="41">
        <v>22.635000000000002</v>
      </c>
      <c r="P54" s="41"/>
      <c r="Q54" s="41"/>
      <c r="R54" s="41"/>
    </row>
    <row r="55" spans="1:18" x14ac:dyDescent="0.2">
      <c r="A55" s="41"/>
      <c r="B55" s="41">
        <v>19.635000000000002</v>
      </c>
      <c r="C55" s="41"/>
      <c r="D55" s="41">
        <v>19.193000000000001</v>
      </c>
      <c r="E55" s="41">
        <v>18.780999999999999</v>
      </c>
      <c r="F55" s="41">
        <v>19.045999999999999</v>
      </c>
      <c r="G55" s="41"/>
      <c r="H55" s="41"/>
      <c r="I55" s="41"/>
      <c r="J55" s="41"/>
      <c r="K55" s="41">
        <v>16.427</v>
      </c>
      <c r="L55" s="41"/>
      <c r="M55" s="41">
        <v>14.34</v>
      </c>
      <c r="N55" s="41">
        <v>17.905999999999999</v>
      </c>
      <c r="O55" s="41"/>
      <c r="P55" s="41"/>
      <c r="Q55" s="41"/>
      <c r="R55" s="41"/>
    </row>
    <row r="56" spans="1:18" x14ac:dyDescent="0.2">
      <c r="A56" s="41"/>
      <c r="B56" s="41">
        <v>18.667000000000002</v>
      </c>
      <c r="C56" s="41"/>
      <c r="D56" s="41">
        <v>17.277000000000001</v>
      </c>
      <c r="E56" s="41">
        <v>22.518999999999998</v>
      </c>
      <c r="F56" s="41">
        <v>16.558</v>
      </c>
      <c r="G56" s="41"/>
      <c r="H56" s="41"/>
      <c r="I56" s="41"/>
      <c r="J56" s="41"/>
      <c r="K56" s="41">
        <v>23.995000000000001</v>
      </c>
      <c r="L56" s="41"/>
      <c r="M56" s="41">
        <v>21.196000000000002</v>
      </c>
      <c r="N56" s="41">
        <v>19.597999999999999</v>
      </c>
      <c r="O56" s="41"/>
      <c r="P56" s="41"/>
      <c r="Q56" s="41"/>
      <c r="R56" s="41"/>
    </row>
    <row r="57" spans="1:18" x14ac:dyDescent="0.2">
      <c r="A57" s="41"/>
      <c r="B57" s="41"/>
      <c r="C57" s="41"/>
      <c r="D57" s="41">
        <v>21.794</v>
      </c>
      <c r="E57" s="41">
        <v>15.916</v>
      </c>
      <c r="F57" s="41">
        <v>16.123999999999999</v>
      </c>
      <c r="G57" s="41"/>
      <c r="H57" s="41"/>
      <c r="I57" s="41"/>
      <c r="J57" s="41"/>
      <c r="K57" s="41">
        <v>22.082999999999998</v>
      </c>
      <c r="L57" s="41"/>
      <c r="M57" s="41">
        <v>20.832000000000001</v>
      </c>
      <c r="N57" s="41">
        <v>24.943000000000001</v>
      </c>
      <c r="O57" s="41"/>
      <c r="P57" s="41"/>
      <c r="Q57" s="41"/>
      <c r="R57" s="41"/>
    </row>
    <row r="58" spans="1:18" x14ac:dyDescent="0.2">
      <c r="A58" s="41"/>
      <c r="B58" s="41"/>
      <c r="C58" s="41"/>
      <c r="D58" s="41">
        <v>15.452</v>
      </c>
      <c r="E58" s="41">
        <v>16.207999999999998</v>
      </c>
      <c r="F58" s="41">
        <v>21.593</v>
      </c>
      <c r="G58" s="41"/>
      <c r="H58" s="41"/>
      <c r="I58" s="41"/>
      <c r="J58" s="41"/>
      <c r="K58" s="41">
        <v>21.326000000000001</v>
      </c>
      <c r="L58" s="41"/>
      <c r="M58" s="41">
        <v>16.516999999999999</v>
      </c>
      <c r="N58" s="41">
        <v>23.015999999999998</v>
      </c>
      <c r="O58" s="41"/>
      <c r="P58" s="41"/>
      <c r="Q58" s="41"/>
      <c r="R58" s="41"/>
    </row>
    <row r="59" spans="1:18" x14ac:dyDescent="0.2">
      <c r="A59" s="41"/>
      <c r="B59" s="41"/>
      <c r="C59" s="41"/>
      <c r="D59" s="41">
        <v>17.068999999999999</v>
      </c>
      <c r="E59" s="41">
        <v>16.789000000000001</v>
      </c>
      <c r="F59" s="41">
        <v>22.341999999999999</v>
      </c>
      <c r="G59" s="41"/>
      <c r="H59" s="41"/>
      <c r="I59" s="41"/>
      <c r="J59" s="41"/>
      <c r="K59" s="41">
        <v>24.626999999999999</v>
      </c>
      <c r="L59" s="41"/>
      <c r="M59" s="41">
        <v>17.202999999999999</v>
      </c>
      <c r="N59" s="41">
        <v>17.488</v>
      </c>
      <c r="O59" s="41"/>
      <c r="P59" s="41"/>
      <c r="Q59" s="41"/>
      <c r="R59" s="41"/>
    </row>
    <row r="60" spans="1:18" x14ac:dyDescent="0.2">
      <c r="A60" s="41"/>
      <c r="B60" s="41"/>
      <c r="C60" s="41"/>
      <c r="D60" s="41">
        <v>21.298999999999999</v>
      </c>
      <c r="E60" s="41">
        <v>17.242999999999999</v>
      </c>
      <c r="F60" s="41">
        <v>18.646000000000001</v>
      </c>
      <c r="G60" s="41"/>
      <c r="H60" s="41"/>
      <c r="I60" s="41"/>
      <c r="J60" s="41"/>
      <c r="K60" s="41">
        <v>17.065999999999999</v>
      </c>
      <c r="L60" s="41"/>
      <c r="M60" s="41">
        <v>18.876000000000001</v>
      </c>
      <c r="N60" s="41">
        <v>24.420999999999999</v>
      </c>
      <c r="O60" s="41"/>
      <c r="P60" s="41"/>
      <c r="Q60" s="41"/>
      <c r="R60" s="41"/>
    </row>
    <row r="61" spans="1:18" x14ac:dyDescent="0.2">
      <c r="A61" s="41"/>
      <c r="B61" s="41"/>
      <c r="C61" s="41"/>
      <c r="D61" s="41">
        <v>19.173999999999999</v>
      </c>
      <c r="E61" s="41">
        <v>17.152000000000001</v>
      </c>
      <c r="F61" s="41">
        <v>21.347999999999999</v>
      </c>
      <c r="G61" s="41"/>
      <c r="H61" s="41"/>
      <c r="I61" s="41"/>
      <c r="J61" s="41"/>
      <c r="K61" s="41">
        <v>15.742000000000001</v>
      </c>
      <c r="L61" s="41"/>
      <c r="M61" s="41">
        <v>16.998999999999999</v>
      </c>
      <c r="N61" s="41"/>
      <c r="O61" s="41"/>
      <c r="P61" s="41"/>
      <c r="Q61" s="41"/>
      <c r="R61" s="41"/>
    </row>
    <row r="62" spans="1:18" x14ac:dyDescent="0.2">
      <c r="A62" s="41"/>
      <c r="B62" s="41"/>
      <c r="C62" s="41"/>
      <c r="D62" s="41">
        <v>16.338999999999999</v>
      </c>
      <c r="E62" s="41">
        <v>14.971</v>
      </c>
      <c r="F62" s="41">
        <v>18.882999999999999</v>
      </c>
      <c r="G62" s="41"/>
      <c r="H62" s="41"/>
      <c r="I62" s="41"/>
      <c r="J62" s="41"/>
      <c r="K62" s="41">
        <v>25.408999999999999</v>
      </c>
      <c r="L62" s="41"/>
      <c r="M62" s="41">
        <v>16.923999999999999</v>
      </c>
      <c r="N62" s="41"/>
      <c r="O62" s="41"/>
      <c r="P62" s="41"/>
      <c r="Q62" s="41"/>
      <c r="R62" s="41"/>
    </row>
    <row r="63" spans="1:18" x14ac:dyDescent="0.2">
      <c r="A63" s="41"/>
      <c r="B63" s="41"/>
      <c r="C63" s="41"/>
      <c r="D63" s="41">
        <v>19.678000000000001</v>
      </c>
      <c r="E63" s="41">
        <v>17.77</v>
      </c>
      <c r="F63" s="41">
        <v>18.353000000000002</v>
      </c>
      <c r="G63" s="41"/>
      <c r="H63" s="41"/>
      <c r="I63" s="41"/>
      <c r="J63" s="41"/>
      <c r="K63" s="41">
        <v>20.035</v>
      </c>
      <c r="L63" s="41"/>
      <c r="M63" s="41">
        <v>21.167000000000002</v>
      </c>
      <c r="N63" s="41"/>
      <c r="O63" s="41"/>
      <c r="P63" s="41"/>
      <c r="Q63" s="41"/>
      <c r="R63" s="41"/>
    </row>
    <row r="64" spans="1:18" x14ac:dyDescent="0.2">
      <c r="A64" s="41"/>
      <c r="B64" s="41"/>
      <c r="C64" s="41"/>
      <c r="D64" s="41">
        <v>23.853999999999999</v>
      </c>
      <c r="E64" s="41">
        <v>16.36</v>
      </c>
      <c r="F64" s="41">
        <v>19.756</v>
      </c>
      <c r="G64" s="41"/>
      <c r="H64" s="41"/>
      <c r="I64" s="41"/>
      <c r="J64" s="41"/>
      <c r="K64" s="41">
        <v>20.984000000000002</v>
      </c>
      <c r="L64" s="41"/>
      <c r="M64" s="41">
        <v>19.495999999999999</v>
      </c>
      <c r="N64" s="41"/>
      <c r="O64" s="41"/>
      <c r="P64" s="41"/>
      <c r="Q64" s="41"/>
      <c r="R64" s="41"/>
    </row>
    <row r="65" spans="1:18" x14ac:dyDescent="0.2">
      <c r="A65" s="41"/>
      <c r="B65" s="41"/>
      <c r="C65" s="41"/>
      <c r="D65" s="41">
        <v>15.34</v>
      </c>
      <c r="E65" s="41">
        <v>27.538</v>
      </c>
      <c r="F65" s="41"/>
      <c r="G65" s="41"/>
      <c r="H65" s="41"/>
      <c r="I65" s="41"/>
      <c r="J65" s="41"/>
      <c r="K65" s="41">
        <v>17.713999999999999</v>
      </c>
      <c r="L65" s="41"/>
      <c r="M65" s="41">
        <v>17.952000000000002</v>
      </c>
      <c r="N65" s="41"/>
      <c r="O65" s="41"/>
      <c r="P65" s="41"/>
      <c r="Q65" s="41"/>
      <c r="R65" s="41"/>
    </row>
    <row r="66" spans="1:18" x14ac:dyDescent="0.2">
      <c r="A66" s="41"/>
      <c r="B66" s="41"/>
      <c r="C66" s="41"/>
      <c r="D66" s="41">
        <v>15.993</v>
      </c>
      <c r="E66" s="41">
        <v>19.863</v>
      </c>
      <c r="F66" s="41"/>
      <c r="G66" s="41"/>
      <c r="H66" s="41"/>
      <c r="I66" s="41"/>
      <c r="J66" s="41"/>
      <c r="K66" s="41">
        <v>20.52</v>
      </c>
      <c r="L66" s="41"/>
      <c r="M66" s="41">
        <v>19.536999999999999</v>
      </c>
      <c r="N66" s="41"/>
      <c r="O66" s="41"/>
      <c r="P66" s="41"/>
      <c r="Q66" s="41"/>
      <c r="R66" s="41"/>
    </row>
    <row r="67" spans="1:18" x14ac:dyDescent="0.2">
      <c r="A67" s="41"/>
      <c r="B67" s="41"/>
      <c r="C67" s="41"/>
      <c r="D67" s="41"/>
      <c r="E67" s="41">
        <v>19.666</v>
      </c>
      <c r="F67" s="41"/>
      <c r="G67" s="41"/>
      <c r="H67" s="41"/>
      <c r="I67" s="41"/>
      <c r="J67" s="41"/>
      <c r="K67" s="41"/>
      <c r="L67" s="41"/>
      <c r="M67" s="41">
        <v>19.457999999999998</v>
      </c>
      <c r="N67" s="41"/>
      <c r="O67" s="41"/>
      <c r="P67" s="41"/>
      <c r="Q67" s="41"/>
      <c r="R67" s="41"/>
    </row>
    <row r="68" spans="1:18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>
        <v>21.256</v>
      </c>
      <c r="N68" s="41"/>
      <c r="O68" s="41"/>
      <c r="P68" s="41"/>
      <c r="Q68" s="41"/>
      <c r="R68" s="4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A6ED-10B5-4414-86E8-79DA539DADA1}">
  <dimension ref="A1:BC148"/>
  <sheetViews>
    <sheetView workbookViewId="0">
      <selection activeCell="P27" sqref="P27"/>
    </sheetView>
  </sheetViews>
  <sheetFormatPr baseColWidth="10" defaultColWidth="8.83203125" defaultRowHeight="15" x14ac:dyDescent="0.2"/>
  <sheetData>
    <row r="1" spans="1:55" x14ac:dyDescent="0.2">
      <c r="A1" t="s">
        <v>412</v>
      </c>
    </row>
    <row r="3" spans="1:55" x14ac:dyDescent="0.2">
      <c r="A3" s="109" t="s">
        <v>413</v>
      </c>
      <c r="B3" s="113" t="s">
        <v>10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 t="s">
        <v>306</v>
      </c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</row>
    <row r="4" spans="1:55" x14ac:dyDescent="0.2">
      <c r="A4" s="41">
        <v>8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5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/>
      <c r="AA4" s="41"/>
      <c r="AB4" s="41"/>
      <c r="AC4" s="41">
        <v>0</v>
      </c>
      <c r="AD4" s="41">
        <v>0</v>
      </c>
      <c r="AE4" s="41">
        <v>0</v>
      </c>
      <c r="AF4" s="41">
        <v>0</v>
      </c>
      <c r="AG4" s="41">
        <v>0</v>
      </c>
      <c r="AH4" s="41">
        <v>0</v>
      </c>
      <c r="AI4" s="41">
        <v>0</v>
      </c>
      <c r="AJ4" s="41">
        <v>0</v>
      </c>
      <c r="AK4" s="41">
        <v>2</v>
      </c>
      <c r="AL4" s="41">
        <v>0</v>
      </c>
      <c r="AM4" s="41">
        <v>0</v>
      </c>
      <c r="AN4" s="41">
        <v>0</v>
      </c>
      <c r="AO4" s="41">
        <v>1</v>
      </c>
      <c r="AP4" s="41">
        <v>1</v>
      </c>
      <c r="AQ4" s="41">
        <v>0</v>
      </c>
      <c r="AR4" s="41">
        <v>1</v>
      </c>
      <c r="AS4" s="41">
        <v>0</v>
      </c>
      <c r="AT4" s="41">
        <v>0</v>
      </c>
      <c r="AU4" s="41">
        <v>0</v>
      </c>
      <c r="AV4" s="41">
        <v>0</v>
      </c>
      <c r="AW4" s="41">
        <v>0</v>
      </c>
      <c r="AX4" s="41">
        <v>1</v>
      </c>
      <c r="AY4" s="41">
        <v>2</v>
      </c>
      <c r="AZ4" s="41">
        <v>0</v>
      </c>
      <c r="BA4" s="41">
        <v>0</v>
      </c>
      <c r="BB4" s="41">
        <v>0</v>
      </c>
      <c r="BC4" s="41">
        <v>2</v>
      </c>
    </row>
    <row r="5" spans="1:55" x14ac:dyDescent="0.2">
      <c r="A5" s="41">
        <v>10</v>
      </c>
      <c r="B5" s="41">
        <v>0</v>
      </c>
      <c r="C5" s="41">
        <v>1</v>
      </c>
      <c r="D5" s="41">
        <v>1</v>
      </c>
      <c r="E5" s="41">
        <v>0</v>
      </c>
      <c r="F5" s="41">
        <v>0</v>
      </c>
      <c r="G5" s="41">
        <v>0</v>
      </c>
      <c r="H5" s="41">
        <v>1</v>
      </c>
      <c r="I5" s="41">
        <v>0</v>
      </c>
      <c r="J5" s="41">
        <v>0</v>
      </c>
      <c r="K5" s="41">
        <v>1</v>
      </c>
      <c r="L5" s="41">
        <v>1</v>
      </c>
      <c r="M5" s="41">
        <v>0</v>
      </c>
      <c r="N5" s="41">
        <v>0</v>
      </c>
      <c r="O5" s="41">
        <v>0</v>
      </c>
      <c r="P5" s="41">
        <v>0</v>
      </c>
      <c r="Q5" s="41">
        <v>7</v>
      </c>
      <c r="R5" s="41">
        <v>3</v>
      </c>
      <c r="S5" s="41">
        <v>1</v>
      </c>
      <c r="T5" s="41">
        <v>3</v>
      </c>
      <c r="U5" s="41">
        <v>3</v>
      </c>
      <c r="V5" s="41">
        <v>0</v>
      </c>
      <c r="W5" s="41">
        <v>0</v>
      </c>
      <c r="X5" s="41">
        <v>0</v>
      </c>
      <c r="Y5" s="41">
        <v>0</v>
      </c>
      <c r="Z5" s="41"/>
      <c r="AA5" s="41"/>
      <c r="AB5" s="41"/>
      <c r="AC5" s="41">
        <v>1</v>
      </c>
      <c r="AD5" s="41">
        <v>2</v>
      </c>
      <c r="AE5" s="41">
        <v>0</v>
      </c>
      <c r="AF5" s="41">
        <v>0</v>
      </c>
      <c r="AG5" s="41">
        <v>1</v>
      </c>
      <c r="AH5" s="41">
        <v>6</v>
      </c>
      <c r="AI5" s="41">
        <v>1</v>
      </c>
      <c r="AJ5" s="41">
        <v>3</v>
      </c>
      <c r="AK5" s="41">
        <v>2</v>
      </c>
      <c r="AL5" s="41">
        <v>0</v>
      </c>
      <c r="AM5" s="41">
        <v>1</v>
      </c>
      <c r="AN5" s="41">
        <v>3</v>
      </c>
      <c r="AO5" s="41">
        <v>3</v>
      </c>
      <c r="AP5" s="41">
        <v>3</v>
      </c>
      <c r="AQ5" s="41">
        <v>0</v>
      </c>
      <c r="AR5" s="41">
        <v>3</v>
      </c>
      <c r="AS5" s="41">
        <v>0</v>
      </c>
      <c r="AT5" s="41">
        <v>0</v>
      </c>
      <c r="AU5" s="41">
        <v>0</v>
      </c>
      <c r="AV5" s="41">
        <v>1</v>
      </c>
      <c r="AW5" s="41">
        <v>0</v>
      </c>
      <c r="AX5" s="41">
        <v>2</v>
      </c>
      <c r="AY5" s="41">
        <v>3</v>
      </c>
      <c r="AZ5" s="41">
        <v>0</v>
      </c>
      <c r="BA5" s="41">
        <v>2</v>
      </c>
      <c r="BB5" s="41">
        <v>0</v>
      </c>
      <c r="BC5" s="41">
        <v>4</v>
      </c>
    </row>
    <row r="6" spans="1:55" x14ac:dyDescent="0.2">
      <c r="A6" s="41">
        <v>12</v>
      </c>
      <c r="B6" s="41">
        <v>2</v>
      </c>
      <c r="C6" s="41">
        <v>5</v>
      </c>
      <c r="D6" s="41">
        <v>2</v>
      </c>
      <c r="E6" s="41">
        <v>5</v>
      </c>
      <c r="F6" s="41">
        <v>2</v>
      </c>
      <c r="G6" s="41">
        <v>0</v>
      </c>
      <c r="H6" s="41">
        <v>1</v>
      </c>
      <c r="I6" s="41">
        <v>1</v>
      </c>
      <c r="J6" s="41">
        <v>0</v>
      </c>
      <c r="K6" s="41">
        <v>7</v>
      </c>
      <c r="L6" s="41">
        <v>3</v>
      </c>
      <c r="M6" s="41">
        <v>2</v>
      </c>
      <c r="N6" s="41">
        <v>2</v>
      </c>
      <c r="O6" s="41">
        <v>1</v>
      </c>
      <c r="P6" s="41">
        <v>5</v>
      </c>
      <c r="Q6" s="41">
        <v>9</v>
      </c>
      <c r="R6" s="41">
        <v>3</v>
      </c>
      <c r="S6" s="41">
        <v>2</v>
      </c>
      <c r="T6" s="41">
        <v>6</v>
      </c>
      <c r="U6" s="41">
        <v>4</v>
      </c>
      <c r="V6" s="41">
        <v>0</v>
      </c>
      <c r="W6" s="41">
        <v>0</v>
      </c>
      <c r="X6" s="41">
        <v>0</v>
      </c>
      <c r="Y6" s="41">
        <v>2</v>
      </c>
      <c r="Z6" s="41"/>
      <c r="AA6" s="41"/>
      <c r="AB6" s="41"/>
      <c r="AC6" s="41">
        <v>3</v>
      </c>
      <c r="AD6" s="41">
        <v>5</v>
      </c>
      <c r="AE6" s="41">
        <v>0</v>
      </c>
      <c r="AF6" s="41">
        <v>2</v>
      </c>
      <c r="AG6" s="41">
        <v>2</v>
      </c>
      <c r="AH6" s="41">
        <v>7</v>
      </c>
      <c r="AI6" s="41">
        <v>4</v>
      </c>
      <c r="AJ6" s="41">
        <v>3</v>
      </c>
      <c r="AK6" s="41">
        <v>4</v>
      </c>
      <c r="AL6" s="41">
        <v>2</v>
      </c>
      <c r="AM6" s="41">
        <v>5</v>
      </c>
      <c r="AN6" s="41">
        <v>7</v>
      </c>
      <c r="AO6" s="41">
        <v>7</v>
      </c>
      <c r="AP6" s="41">
        <v>4</v>
      </c>
      <c r="AQ6" s="41">
        <v>2</v>
      </c>
      <c r="AR6" s="41">
        <v>6</v>
      </c>
      <c r="AS6" s="41">
        <v>0</v>
      </c>
      <c r="AT6" s="41">
        <v>0</v>
      </c>
      <c r="AU6" s="41">
        <v>0</v>
      </c>
      <c r="AV6" s="41">
        <v>1</v>
      </c>
      <c r="AW6" s="41">
        <v>1</v>
      </c>
      <c r="AX6" s="41">
        <v>7</v>
      </c>
      <c r="AY6" s="41">
        <v>5</v>
      </c>
      <c r="AZ6" s="41">
        <v>1</v>
      </c>
      <c r="BA6" s="41">
        <v>7</v>
      </c>
      <c r="BB6" s="41">
        <v>1</v>
      </c>
      <c r="BC6" s="41">
        <v>5</v>
      </c>
    </row>
    <row r="7" spans="1:55" x14ac:dyDescent="0.2">
      <c r="A7" s="41">
        <v>14</v>
      </c>
      <c r="B7" s="41">
        <v>4</v>
      </c>
      <c r="C7" s="41">
        <v>9</v>
      </c>
      <c r="D7" s="41">
        <v>2</v>
      </c>
      <c r="E7" s="41">
        <v>8</v>
      </c>
      <c r="F7" s="41">
        <v>3</v>
      </c>
      <c r="G7" s="41">
        <v>3</v>
      </c>
      <c r="H7" s="41">
        <v>2</v>
      </c>
      <c r="I7" s="41">
        <v>1</v>
      </c>
      <c r="J7" s="41">
        <v>0</v>
      </c>
      <c r="K7" s="41">
        <v>7</v>
      </c>
      <c r="L7" s="41">
        <v>4</v>
      </c>
      <c r="M7" s="41">
        <v>4</v>
      </c>
      <c r="N7" s="41">
        <v>4</v>
      </c>
      <c r="O7" s="41">
        <v>1</v>
      </c>
      <c r="P7" s="41">
        <v>5</v>
      </c>
      <c r="Q7" s="41">
        <v>7</v>
      </c>
      <c r="R7" s="41">
        <v>4</v>
      </c>
      <c r="S7" s="41">
        <v>5</v>
      </c>
      <c r="T7" s="41">
        <v>6</v>
      </c>
      <c r="U7" s="41">
        <v>5</v>
      </c>
      <c r="V7" s="41">
        <v>0</v>
      </c>
      <c r="W7" s="41">
        <v>2</v>
      </c>
      <c r="X7" s="41">
        <v>0</v>
      </c>
      <c r="Y7" s="41">
        <v>8</v>
      </c>
      <c r="Z7" s="41"/>
      <c r="AA7" s="41"/>
      <c r="AB7" s="41"/>
      <c r="AC7" s="41">
        <v>4</v>
      </c>
      <c r="AD7" s="41">
        <v>6</v>
      </c>
      <c r="AE7" s="41">
        <v>3</v>
      </c>
      <c r="AF7" s="41">
        <v>3</v>
      </c>
      <c r="AG7" s="41">
        <v>5</v>
      </c>
      <c r="AH7" s="41">
        <v>9</v>
      </c>
      <c r="AI7" s="41">
        <v>5</v>
      </c>
      <c r="AJ7" s="41">
        <v>3</v>
      </c>
      <c r="AK7" s="41">
        <v>6</v>
      </c>
      <c r="AL7" s="41">
        <v>4</v>
      </c>
      <c r="AM7" s="41">
        <v>4</v>
      </c>
      <c r="AN7" s="41">
        <v>10</v>
      </c>
      <c r="AO7" s="41">
        <v>6</v>
      </c>
      <c r="AP7" s="41">
        <v>5</v>
      </c>
      <c r="AQ7" s="41">
        <v>2</v>
      </c>
      <c r="AR7" s="41">
        <v>7</v>
      </c>
      <c r="AS7" s="41">
        <v>2</v>
      </c>
      <c r="AT7" s="41">
        <v>1</v>
      </c>
      <c r="AU7" s="41">
        <v>0</v>
      </c>
      <c r="AV7" s="41">
        <v>4</v>
      </c>
      <c r="AW7" s="41">
        <v>3</v>
      </c>
      <c r="AX7" s="41">
        <v>3</v>
      </c>
      <c r="AY7" s="41">
        <v>6</v>
      </c>
      <c r="AZ7" s="41">
        <v>5</v>
      </c>
      <c r="BA7" s="41">
        <v>9</v>
      </c>
      <c r="BB7" s="41">
        <v>3</v>
      </c>
      <c r="BC7" s="41">
        <v>7</v>
      </c>
    </row>
    <row r="8" spans="1:55" x14ac:dyDescent="0.2">
      <c r="A8" s="41">
        <v>16</v>
      </c>
      <c r="B8" s="41">
        <v>4</v>
      </c>
      <c r="C8" s="41">
        <v>11</v>
      </c>
      <c r="D8" s="41">
        <v>3</v>
      </c>
      <c r="E8" s="41">
        <v>8</v>
      </c>
      <c r="F8" s="41">
        <v>4</v>
      </c>
      <c r="G8" s="41">
        <v>5</v>
      </c>
      <c r="H8" s="41">
        <v>2</v>
      </c>
      <c r="I8" s="41">
        <v>1</v>
      </c>
      <c r="J8" s="41">
        <v>1</v>
      </c>
      <c r="K8" s="41">
        <v>10</v>
      </c>
      <c r="L8" s="41">
        <v>6</v>
      </c>
      <c r="M8" s="41">
        <v>4</v>
      </c>
      <c r="N8" s="41">
        <v>4</v>
      </c>
      <c r="O8" s="41">
        <v>1</v>
      </c>
      <c r="P8" s="41">
        <v>6</v>
      </c>
      <c r="Q8" s="41">
        <v>11</v>
      </c>
      <c r="R8" s="41">
        <v>4</v>
      </c>
      <c r="S8" s="41">
        <v>5</v>
      </c>
      <c r="T8" s="41">
        <v>8</v>
      </c>
      <c r="U8" s="41">
        <v>10</v>
      </c>
      <c r="V8" s="41">
        <v>2</v>
      </c>
      <c r="W8" s="41">
        <v>6</v>
      </c>
      <c r="X8" s="41">
        <v>1</v>
      </c>
      <c r="Y8" s="41">
        <v>6</v>
      </c>
      <c r="Z8" s="41"/>
      <c r="AA8" s="41"/>
      <c r="AB8" s="41"/>
      <c r="AC8" s="41">
        <v>7</v>
      </c>
      <c r="AD8" s="41">
        <v>10</v>
      </c>
      <c r="AE8" s="41">
        <v>3</v>
      </c>
      <c r="AF8" s="41">
        <v>4</v>
      </c>
      <c r="AG8" s="41">
        <v>7</v>
      </c>
      <c r="AH8" s="41">
        <v>14</v>
      </c>
      <c r="AI8" s="41">
        <v>6</v>
      </c>
      <c r="AJ8" s="41">
        <v>3</v>
      </c>
      <c r="AK8" s="41">
        <v>9</v>
      </c>
      <c r="AL8" s="41">
        <v>3</v>
      </c>
      <c r="AM8" s="41">
        <v>8</v>
      </c>
      <c r="AN8" s="41">
        <v>7</v>
      </c>
      <c r="AO8" s="41">
        <v>10</v>
      </c>
      <c r="AP8" s="41">
        <v>8</v>
      </c>
      <c r="AQ8" s="41">
        <v>4</v>
      </c>
      <c r="AR8" s="41">
        <v>6</v>
      </c>
      <c r="AS8" s="41">
        <v>3</v>
      </c>
      <c r="AT8" s="41">
        <v>1</v>
      </c>
      <c r="AU8" s="41">
        <v>1</v>
      </c>
      <c r="AV8" s="41">
        <v>4</v>
      </c>
      <c r="AW8" s="41">
        <v>2</v>
      </c>
      <c r="AX8" s="41">
        <v>5</v>
      </c>
      <c r="AY8" s="41">
        <v>12</v>
      </c>
      <c r="AZ8" s="41">
        <v>4</v>
      </c>
      <c r="BA8" s="41">
        <v>8</v>
      </c>
      <c r="BB8" s="41">
        <v>5</v>
      </c>
      <c r="BC8" s="41">
        <v>9</v>
      </c>
    </row>
    <row r="9" spans="1:55" x14ac:dyDescent="0.2">
      <c r="A9" s="41">
        <v>18</v>
      </c>
      <c r="B9" s="41">
        <v>5</v>
      </c>
      <c r="C9" s="41">
        <v>7</v>
      </c>
      <c r="D9" s="41">
        <v>3</v>
      </c>
      <c r="E9" s="41">
        <v>7</v>
      </c>
      <c r="F9" s="41">
        <v>5</v>
      </c>
      <c r="G9" s="41">
        <v>8</v>
      </c>
      <c r="H9" s="41">
        <v>1</v>
      </c>
      <c r="I9" s="41">
        <v>2</v>
      </c>
      <c r="J9" s="41">
        <v>1</v>
      </c>
      <c r="K9" s="41">
        <v>8</v>
      </c>
      <c r="L9" s="41">
        <v>6</v>
      </c>
      <c r="M9" s="41">
        <v>5</v>
      </c>
      <c r="N9" s="41">
        <v>4</v>
      </c>
      <c r="O9" s="41">
        <v>2</v>
      </c>
      <c r="P9" s="41">
        <v>8</v>
      </c>
      <c r="Q9" s="41">
        <v>13</v>
      </c>
      <c r="R9" s="41">
        <v>6</v>
      </c>
      <c r="S9" s="41">
        <v>5</v>
      </c>
      <c r="T9" s="41">
        <v>9</v>
      </c>
      <c r="U9" s="41">
        <v>7</v>
      </c>
      <c r="V9" s="41">
        <v>4</v>
      </c>
      <c r="W9" s="41">
        <v>5</v>
      </c>
      <c r="X9" s="41">
        <v>1</v>
      </c>
      <c r="Y9" s="41">
        <v>12</v>
      </c>
      <c r="Z9" s="41"/>
      <c r="AA9" s="41"/>
      <c r="AB9" s="41"/>
      <c r="AC9" s="41">
        <v>8</v>
      </c>
      <c r="AD9" s="41">
        <v>11</v>
      </c>
      <c r="AE9" s="41">
        <v>4</v>
      </c>
      <c r="AF9" s="41">
        <v>4</v>
      </c>
      <c r="AG9" s="41">
        <v>6</v>
      </c>
      <c r="AH9" s="41">
        <v>17</v>
      </c>
      <c r="AI9" s="41">
        <v>7</v>
      </c>
      <c r="AJ9" s="41">
        <v>5</v>
      </c>
      <c r="AK9" s="41">
        <v>8</v>
      </c>
      <c r="AL9" s="41">
        <v>5</v>
      </c>
      <c r="AM9" s="41">
        <v>8</v>
      </c>
      <c r="AN9" s="41">
        <v>8</v>
      </c>
      <c r="AO9" s="41">
        <v>10</v>
      </c>
      <c r="AP9" s="41">
        <v>10</v>
      </c>
      <c r="AQ9" s="41">
        <v>5</v>
      </c>
      <c r="AR9" s="41">
        <v>7</v>
      </c>
      <c r="AS9" s="41">
        <v>3</v>
      </c>
      <c r="AT9" s="41">
        <v>1</v>
      </c>
      <c r="AU9" s="41">
        <v>1</v>
      </c>
      <c r="AV9" s="41">
        <v>6</v>
      </c>
      <c r="AW9" s="41">
        <v>4</v>
      </c>
      <c r="AX9" s="41">
        <v>6</v>
      </c>
      <c r="AY9" s="41">
        <v>10</v>
      </c>
      <c r="AZ9" s="41">
        <v>3</v>
      </c>
      <c r="BA9" s="41">
        <v>8</v>
      </c>
      <c r="BB9" s="41">
        <v>5</v>
      </c>
      <c r="BC9" s="41">
        <v>8</v>
      </c>
    </row>
    <row r="10" spans="1:55" x14ac:dyDescent="0.2">
      <c r="A10" s="41">
        <v>20</v>
      </c>
      <c r="B10" s="41">
        <v>5</v>
      </c>
      <c r="C10" s="41">
        <v>6</v>
      </c>
      <c r="D10" s="41">
        <v>3</v>
      </c>
      <c r="E10" s="41">
        <v>10</v>
      </c>
      <c r="F10" s="41">
        <v>5</v>
      </c>
      <c r="G10" s="41">
        <v>10</v>
      </c>
      <c r="H10" s="41">
        <v>2</v>
      </c>
      <c r="I10" s="41">
        <v>2</v>
      </c>
      <c r="J10" s="41">
        <v>3</v>
      </c>
      <c r="K10" s="41">
        <v>11</v>
      </c>
      <c r="L10" s="41">
        <v>6</v>
      </c>
      <c r="M10" s="41">
        <v>8</v>
      </c>
      <c r="N10" s="41">
        <v>5</v>
      </c>
      <c r="O10" s="41">
        <v>5</v>
      </c>
      <c r="P10" s="41">
        <v>9</v>
      </c>
      <c r="Q10" s="41">
        <v>14</v>
      </c>
      <c r="R10" s="41">
        <v>5</v>
      </c>
      <c r="S10" s="41">
        <v>5</v>
      </c>
      <c r="T10" s="41">
        <v>10</v>
      </c>
      <c r="U10" s="41">
        <v>7</v>
      </c>
      <c r="V10" s="41">
        <v>4</v>
      </c>
      <c r="W10" s="41">
        <v>6</v>
      </c>
      <c r="X10" s="41">
        <v>2</v>
      </c>
      <c r="Y10" s="41">
        <v>8</v>
      </c>
      <c r="Z10" s="41"/>
      <c r="AA10" s="41"/>
      <c r="AB10" s="41"/>
      <c r="AC10" s="41">
        <v>11</v>
      </c>
      <c r="AD10" s="41">
        <v>10</v>
      </c>
      <c r="AE10" s="41">
        <v>9</v>
      </c>
      <c r="AF10" s="41">
        <v>6</v>
      </c>
      <c r="AG10" s="41">
        <v>9</v>
      </c>
      <c r="AH10" s="41">
        <v>16</v>
      </c>
      <c r="AI10" s="41">
        <v>7</v>
      </c>
      <c r="AJ10" s="41">
        <v>9</v>
      </c>
      <c r="AK10" s="41">
        <v>13</v>
      </c>
      <c r="AL10" s="41">
        <v>6</v>
      </c>
      <c r="AM10" s="41">
        <v>11</v>
      </c>
      <c r="AN10" s="41">
        <v>7</v>
      </c>
      <c r="AO10" s="41">
        <v>10</v>
      </c>
      <c r="AP10" s="41">
        <v>10</v>
      </c>
      <c r="AQ10" s="41">
        <v>7</v>
      </c>
      <c r="AR10" s="41">
        <v>6</v>
      </c>
      <c r="AS10" s="41">
        <v>6</v>
      </c>
      <c r="AT10" s="41">
        <v>1</v>
      </c>
      <c r="AU10" s="41">
        <v>2</v>
      </c>
      <c r="AV10" s="41">
        <v>7</v>
      </c>
      <c r="AW10" s="41">
        <v>3</v>
      </c>
      <c r="AX10" s="41">
        <v>7</v>
      </c>
      <c r="AY10" s="41">
        <v>8</v>
      </c>
      <c r="AZ10" s="41">
        <v>5</v>
      </c>
      <c r="BA10" s="41">
        <v>13</v>
      </c>
      <c r="BB10" s="41">
        <v>7</v>
      </c>
      <c r="BC10" s="41">
        <v>10</v>
      </c>
    </row>
    <row r="11" spans="1:55" x14ac:dyDescent="0.2">
      <c r="A11" s="41">
        <v>22</v>
      </c>
      <c r="B11" s="41">
        <v>7</v>
      </c>
      <c r="C11" s="41">
        <v>7</v>
      </c>
      <c r="D11" s="41">
        <v>4</v>
      </c>
      <c r="E11" s="41">
        <v>10</v>
      </c>
      <c r="F11" s="41">
        <v>8</v>
      </c>
      <c r="G11" s="41">
        <v>10</v>
      </c>
      <c r="H11" s="41">
        <v>3</v>
      </c>
      <c r="I11" s="41">
        <v>2</v>
      </c>
      <c r="J11" s="41">
        <v>7</v>
      </c>
      <c r="K11" s="41">
        <v>12</v>
      </c>
      <c r="L11" s="41">
        <v>7</v>
      </c>
      <c r="M11" s="41">
        <v>6</v>
      </c>
      <c r="N11" s="41">
        <v>5</v>
      </c>
      <c r="O11" s="41">
        <v>7</v>
      </c>
      <c r="P11" s="41">
        <v>11</v>
      </c>
      <c r="Q11" s="41">
        <v>11</v>
      </c>
      <c r="R11" s="41">
        <v>6</v>
      </c>
      <c r="S11" s="41">
        <v>4</v>
      </c>
      <c r="T11" s="41">
        <v>10</v>
      </c>
      <c r="U11" s="41">
        <v>8</v>
      </c>
      <c r="V11" s="41">
        <v>7</v>
      </c>
      <c r="W11" s="41">
        <v>6</v>
      </c>
      <c r="X11" s="41">
        <v>2</v>
      </c>
      <c r="Y11" s="41">
        <v>8</v>
      </c>
      <c r="Z11" s="41"/>
      <c r="AA11" s="41"/>
      <c r="AB11" s="41"/>
      <c r="AC11" s="41">
        <v>11</v>
      </c>
      <c r="AD11" s="41">
        <v>13</v>
      </c>
      <c r="AE11" s="41">
        <v>7</v>
      </c>
      <c r="AF11" s="41">
        <v>6</v>
      </c>
      <c r="AG11" s="41">
        <v>10</v>
      </c>
      <c r="AH11" s="41">
        <v>15</v>
      </c>
      <c r="AI11" s="41">
        <v>8</v>
      </c>
      <c r="AJ11" s="41">
        <v>11</v>
      </c>
      <c r="AK11" s="41">
        <v>12</v>
      </c>
      <c r="AL11" s="41">
        <v>7</v>
      </c>
      <c r="AM11" s="41">
        <v>12</v>
      </c>
      <c r="AN11" s="41">
        <v>13</v>
      </c>
      <c r="AO11" s="41">
        <v>12</v>
      </c>
      <c r="AP11" s="41">
        <v>8</v>
      </c>
      <c r="AQ11" s="41">
        <v>8</v>
      </c>
      <c r="AR11" s="41">
        <v>10</v>
      </c>
      <c r="AS11" s="41">
        <v>6</v>
      </c>
      <c r="AT11" s="41">
        <v>1</v>
      </c>
      <c r="AU11" s="41">
        <v>4</v>
      </c>
      <c r="AV11" s="41">
        <v>8</v>
      </c>
      <c r="AW11" s="41">
        <v>5</v>
      </c>
      <c r="AX11" s="41">
        <v>8</v>
      </c>
      <c r="AY11" s="41">
        <v>11</v>
      </c>
      <c r="AZ11" s="41">
        <v>5</v>
      </c>
      <c r="BA11" s="41">
        <v>10</v>
      </c>
      <c r="BB11" s="41">
        <v>6</v>
      </c>
      <c r="BC11" s="41">
        <v>12</v>
      </c>
    </row>
    <row r="12" spans="1:55" x14ac:dyDescent="0.2">
      <c r="A12" s="41">
        <v>24</v>
      </c>
      <c r="B12" s="41">
        <v>7</v>
      </c>
      <c r="C12" s="41">
        <v>12</v>
      </c>
      <c r="D12" s="41">
        <v>3</v>
      </c>
      <c r="E12" s="41">
        <v>8</v>
      </c>
      <c r="F12" s="41">
        <v>7</v>
      </c>
      <c r="G12" s="41">
        <v>12</v>
      </c>
      <c r="H12" s="41">
        <v>5</v>
      </c>
      <c r="I12" s="41">
        <v>3</v>
      </c>
      <c r="J12" s="41">
        <v>5</v>
      </c>
      <c r="K12" s="41">
        <v>13</v>
      </c>
      <c r="L12" s="41">
        <v>8</v>
      </c>
      <c r="M12" s="41">
        <v>9</v>
      </c>
      <c r="N12" s="41">
        <v>8</v>
      </c>
      <c r="O12" s="41">
        <v>7</v>
      </c>
      <c r="P12" s="41">
        <v>10</v>
      </c>
      <c r="Q12" s="41">
        <v>11</v>
      </c>
      <c r="R12" s="41">
        <v>3</v>
      </c>
      <c r="S12" s="41">
        <v>6</v>
      </c>
      <c r="T12" s="41">
        <v>14</v>
      </c>
      <c r="U12" s="41">
        <v>8</v>
      </c>
      <c r="V12" s="41">
        <v>8</v>
      </c>
      <c r="W12" s="41">
        <v>6</v>
      </c>
      <c r="X12" s="41">
        <v>2</v>
      </c>
      <c r="Y12" s="41">
        <v>12</v>
      </c>
      <c r="Z12" s="41"/>
      <c r="AA12" s="41"/>
      <c r="AB12" s="41"/>
      <c r="AC12" s="41">
        <v>13</v>
      </c>
      <c r="AD12" s="41">
        <v>12</v>
      </c>
      <c r="AE12" s="41">
        <v>7</v>
      </c>
      <c r="AF12" s="41">
        <v>4</v>
      </c>
      <c r="AG12" s="41">
        <v>10</v>
      </c>
      <c r="AH12" s="41">
        <v>17</v>
      </c>
      <c r="AI12" s="41">
        <v>11</v>
      </c>
      <c r="AJ12" s="41">
        <v>10</v>
      </c>
      <c r="AK12" s="41">
        <v>9</v>
      </c>
      <c r="AL12" s="41">
        <v>6</v>
      </c>
      <c r="AM12" s="41">
        <v>14</v>
      </c>
      <c r="AN12" s="41">
        <v>14</v>
      </c>
      <c r="AO12" s="41">
        <v>15</v>
      </c>
      <c r="AP12" s="41">
        <v>7</v>
      </c>
      <c r="AQ12" s="41">
        <v>7</v>
      </c>
      <c r="AR12" s="41">
        <v>13</v>
      </c>
      <c r="AS12" s="41">
        <v>9</v>
      </c>
      <c r="AT12" s="41">
        <v>1</v>
      </c>
      <c r="AU12" s="41">
        <v>5</v>
      </c>
      <c r="AV12" s="41">
        <v>9</v>
      </c>
      <c r="AW12" s="41">
        <v>9</v>
      </c>
      <c r="AX12" s="41">
        <v>8</v>
      </c>
      <c r="AY12" s="41">
        <v>15</v>
      </c>
      <c r="AZ12" s="41">
        <v>5</v>
      </c>
      <c r="BA12" s="41">
        <v>14</v>
      </c>
      <c r="BB12" s="41">
        <v>6</v>
      </c>
      <c r="BC12" s="41">
        <v>14</v>
      </c>
    </row>
    <row r="13" spans="1:55" x14ac:dyDescent="0.2">
      <c r="A13" s="41">
        <v>26</v>
      </c>
      <c r="B13" s="41">
        <v>8</v>
      </c>
      <c r="C13" s="41">
        <v>9</v>
      </c>
      <c r="D13" s="41">
        <v>4</v>
      </c>
      <c r="E13" s="41">
        <v>9</v>
      </c>
      <c r="F13" s="41">
        <v>7</v>
      </c>
      <c r="G13" s="41">
        <v>12</v>
      </c>
      <c r="H13" s="41">
        <v>8</v>
      </c>
      <c r="I13" s="41">
        <v>5</v>
      </c>
      <c r="J13" s="41">
        <v>7</v>
      </c>
      <c r="K13" s="41">
        <v>12</v>
      </c>
      <c r="L13" s="41">
        <v>12</v>
      </c>
      <c r="M13" s="41">
        <v>7</v>
      </c>
      <c r="N13" s="41">
        <v>9</v>
      </c>
      <c r="O13" s="41">
        <v>9</v>
      </c>
      <c r="P13" s="41">
        <v>11</v>
      </c>
      <c r="Q13" s="41">
        <v>14</v>
      </c>
      <c r="R13" s="41">
        <v>5</v>
      </c>
      <c r="S13" s="41">
        <v>7</v>
      </c>
      <c r="T13" s="41">
        <v>12</v>
      </c>
      <c r="U13" s="41">
        <v>7</v>
      </c>
      <c r="V13" s="41">
        <v>11</v>
      </c>
      <c r="W13" s="41">
        <v>9</v>
      </c>
      <c r="X13" s="41">
        <v>2</v>
      </c>
      <c r="Y13" s="41">
        <v>11</v>
      </c>
      <c r="Z13" s="41"/>
      <c r="AA13" s="41"/>
      <c r="AB13" s="41"/>
      <c r="AC13" s="41">
        <v>13</v>
      </c>
      <c r="AD13" s="41">
        <v>13</v>
      </c>
      <c r="AE13" s="41">
        <v>9</v>
      </c>
      <c r="AF13" s="41">
        <v>8</v>
      </c>
      <c r="AG13" s="41">
        <v>12</v>
      </c>
      <c r="AH13" s="41">
        <v>13</v>
      </c>
      <c r="AI13" s="41">
        <v>11</v>
      </c>
      <c r="AJ13" s="41">
        <v>9</v>
      </c>
      <c r="AK13" s="41">
        <v>15</v>
      </c>
      <c r="AL13" s="41">
        <v>4</v>
      </c>
      <c r="AM13" s="41">
        <v>18</v>
      </c>
      <c r="AN13" s="41">
        <v>17</v>
      </c>
      <c r="AO13" s="41">
        <v>15</v>
      </c>
      <c r="AP13" s="41">
        <v>9</v>
      </c>
      <c r="AQ13" s="41">
        <v>8</v>
      </c>
      <c r="AR13" s="41">
        <v>14</v>
      </c>
      <c r="AS13" s="41">
        <v>11</v>
      </c>
      <c r="AT13" s="41">
        <v>1</v>
      </c>
      <c r="AU13" s="41">
        <v>4</v>
      </c>
      <c r="AV13" s="41">
        <v>9</v>
      </c>
      <c r="AW13" s="41">
        <v>10</v>
      </c>
      <c r="AX13" s="41">
        <v>8</v>
      </c>
      <c r="AY13" s="41">
        <v>15</v>
      </c>
      <c r="AZ13" s="41">
        <v>8</v>
      </c>
      <c r="BA13" s="41">
        <v>22</v>
      </c>
      <c r="BB13" s="41">
        <v>13</v>
      </c>
      <c r="BC13" s="41">
        <v>15</v>
      </c>
    </row>
    <row r="14" spans="1:55" x14ac:dyDescent="0.2">
      <c r="A14" s="41">
        <v>28</v>
      </c>
      <c r="B14" s="41">
        <v>8</v>
      </c>
      <c r="C14" s="41">
        <v>11</v>
      </c>
      <c r="D14" s="41">
        <v>5</v>
      </c>
      <c r="E14" s="41">
        <v>8</v>
      </c>
      <c r="F14" s="41">
        <v>9</v>
      </c>
      <c r="G14" s="41">
        <v>12</v>
      </c>
      <c r="H14" s="41">
        <v>6</v>
      </c>
      <c r="I14" s="41">
        <v>7</v>
      </c>
      <c r="J14" s="41">
        <v>9</v>
      </c>
      <c r="K14" s="41">
        <v>19</v>
      </c>
      <c r="L14" s="41">
        <v>14</v>
      </c>
      <c r="M14" s="41">
        <v>10</v>
      </c>
      <c r="N14" s="41">
        <v>10</v>
      </c>
      <c r="O14" s="41">
        <v>8</v>
      </c>
      <c r="P14" s="41">
        <v>11</v>
      </c>
      <c r="Q14" s="41">
        <v>12</v>
      </c>
      <c r="R14" s="41">
        <v>7</v>
      </c>
      <c r="S14" s="41">
        <v>6</v>
      </c>
      <c r="T14" s="41">
        <v>12</v>
      </c>
      <c r="U14" s="41">
        <v>11</v>
      </c>
      <c r="V14" s="41">
        <v>15</v>
      </c>
      <c r="W14" s="41">
        <v>6</v>
      </c>
      <c r="X14" s="41">
        <v>2</v>
      </c>
      <c r="Y14" s="41">
        <v>17</v>
      </c>
      <c r="Z14" s="41"/>
      <c r="AA14" s="41"/>
      <c r="AB14" s="41"/>
      <c r="AC14" s="41">
        <v>14</v>
      </c>
      <c r="AD14" s="41">
        <v>13</v>
      </c>
      <c r="AE14" s="41">
        <v>9</v>
      </c>
      <c r="AF14" s="41">
        <v>7</v>
      </c>
      <c r="AG14" s="41">
        <v>13</v>
      </c>
      <c r="AH14" s="41">
        <v>20</v>
      </c>
      <c r="AI14" s="41">
        <v>13</v>
      </c>
      <c r="AJ14" s="41">
        <v>9</v>
      </c>
      <c r="AK14" s="41">
        <v>16</v>
      </c>
      <c r="AL14" s="41">
        <v>4</v>
      </c>
      <c r="AM14" s="41">
        <v>13</v>
      </c>
      <c r="AN14" s="41">
        <v>15</v>
      </c>
      <c r="AO14" s="41">
        <v>16</v>
      </c>
      <c r="AP14" s="41">
        <v>9</v>
      </c>
      <c r="AQ14" s="41">
        <v>10</v>
      </c>
      <c r="AR14" s="41">
        <v>17</v>
      </c>
      <c r="AS14" s="41">
        <v>8</v>
      </c>
      <c r="AT14" s="41">
        <v>2</v>
      </c>
      <c r="AU14" s="41">
        <v>4</v>
      </c>
      <c r="AV14" s="41">
        <v>14</v>
      </c>
      <c r="AW14" s="41">
        <v>9</v>
      </c>
      <c r="AX14" s="41">
        <v>13</v>
      </c>
      <c r="AY14" s="41">
        <v>14</v>
      </c>
      <c r="AZ14" s="41">
        <v>5</v>
      </c>
      <c r="BA14" s="41">
        <v>18</v>
      </c>
      <c r="BB14" s="41">
        <v>14</v>
      </c>
      <c r="BC14" s="41">
        <v>15</v>
      </c>
    </row>
    <row r="15" spans="1:55" x14ac:dyDescent="0.2">
      <c r="A15" s="41">
        <v>30</v>
      </c>
      <c r="B15" s="41">
        <v>7</v>
      </c>
      <c r="C15" s="41">
        <v>12</v>
      </c>
      <c r="D15" s="41">
        <v>6</v>
      </c>
      <c r="E15" s="41">
        <v>6</v>
      </c>
      <c r="F15" s="41">
        <v>10</v>
      </c>
      <c r="G15" s="41">
        <v>14</v>
      </c>
      <c r="H15" s="41">
        <v>9</v>
      </c>
      <c r="I15" s="41">
        <v>9</v>
      </c>
      <c r="J15" s="41">
        <v>9</v>
      </c>
      <c r="K15" s="41">
        <v>18</v>
      </c>
      <c r="L15" s="41">
        <v>11</v>
      </c>
      <c r="M15" s="41">
        <v>9</v>
      </c>
      <c r="N15" s="41">
        <v>9</v>
      </c>
      <c r="O15" s="41">
        <v>8</v>
      </c>
      <c r="P15" s="41">
        <v>13</v>
      </c>
      <c r="Q15" s="41">
        <v>13</v>
      </c>
      <c r="R15" s="41">
        <v>7</v>
      </c>
      <c r="S15" s="41">
        <v>6</v>
      </c>
      <c r="T15" s="41">
        <v>16</v>
      </c>
      <c r="U15" s="41">
        <v>11</v>
      </c>
      <c r="V15" s="41">
        <v>11</v>
      </c>
      <c r="W15" s="41">
        <v>7</v>
      </c>
      <c r="X15" s="41">
        <v>4</v>
      </c>
      <c r="Y15" s="41">
        <v>17</v>
      </c>
      <c r="Z15" s="41"/>
      <c r="AA15" s="41"/>
      <c r="AB15" s="41"/>
      <c r="AC15" s="41">
        <v>14</v>
      </c>
      <c r="AD15" s="41">
        <v>10</v>
      </c>
      <c r="AE15" s="41">
        <v>11</v>
      </c>
      <c r="AF15" s="41">
        <v>9</v>
      </c>
      <c r="AG15" s="41">
        <v>14</v>
      </c>
      <c r="AH15" s="41">
        <v>19</v>
      </c>
      <c r="AI15" s="41">
        <v>13</v>
      </c>
      <c r="AJ15" s="41">
        <v>10</v>
      </c>
      <c r="AK15" s="41">
        <v>18</v>
      </c>
      <c r="AL15" s="41">
        <v>7</v>
      </c>
      <c r="AM15" s="41">
        <v>13</v>
      </c>
      <c r="AN15" s="41">
        <v>13</v>
      </c>
      <c r="AO15" s="41">
        <v>14</v>
      </c>
      <c r="AP15" s="41">
        <v>10</v>
      </c>
      <c r="AQ15" s="41">
        <v>7</v>
      </c>
      <c r="AR15" s="41">
        <v>13</v>
      </c>
      <c r="AS15" s="41">
        <v>7</v>
      </c>
      <c r="AT15" s="41">
        <v>2</v>
      </c>
      <c r="AU15" s="41">
        <v>6</v>
      </c>
      <c r="AV15" s="41">
        <v>13</v>
      </c>
      <c r="AW15" s="41">
        <v>6</v>
      </c>
      <c r="AX15" s="41">
        <v>10</v>
      </c>
      <c r="AY15" s="41">
        <v>19</v>
      </c>
      <c r="AZ15" s="41">
        <v>6</v>
      </c>
      <c r="BA15" s="41">
        <v>15</v>
      </c>
      <c r="BB15" s="41">
        <v>14</v>
      </c>
      <c r="BC15" s="41">
        <v>17</v>
      </c>
    </row>
    <row r="16" spans="1:55" x14ac:dyDescent="0.2">
      <c r="A16" s="41">
        <v>32</v>
      </c>
      <c r="B16" s="41">
        <v>6</v>
      </c>
      <c r="C16" s="41">
        <v>13</v>
      </c>
      <c r="D16" s="41">
        <v>4</v>
      </c>
      <c r="E16" s="41">
        <v>9</v>
      </c>
      <c r="F16" s="41">
        <v>8</v>
      </c>
      <c r="G16" s="41">
        <v>16</v>
      </c>
      <c r="H16" s="41">
        <v>11</v>
      </c>
      <c r="I16" s="41">
        <v>10</v>
      </c>
      <c r="J16" s="41">
        <v>10</v>
      </c>
      <c r="K16" s="41">
        <v>17</v>
      </c>
      <c r="L16" s="41">
        <v>15</v>
      </c>
      <c r="M16" s="41">
        <v>10</v>
      </c>
      <c r="N16" s="41">
        <v>8</v>
      </c>
      <c r="O16" s="41">
        <v>11</v>
      </c>
      <c r="P16" s="41">
        <v>13</v>
      </c>
      <c r="Q16" s="41">
        <v>18</v>
      </c>
      <c r="R16" s="41">
        <v>8</v>
      </c>
      <c r="S16" s="41">
        <v>7</v>
      </c>
      <c r="T16" s="41">
        <v>17</v>
      </c>
      <c r="U16" s="41">
        <v>17</v>
      </c>
      <c r="V16" s="41">
        <v>13</v>
      </c>
      <c r="W16" s="41">
        <v>7</v>
      </c>
      <c r="X16" s="41">
        <v>4</v>
      </c>
      <c r="Y16" s="41">
        <v>18</v>
      </c>
      <c r="Z16" s="41"/>
      <c r="AA16" s="41"/>
      <c r="AB16" s="41"/>
      <c r="AC16" s="41">
        <v>14</v>
      </c>
      <c r="AD16" s="41">
        <v>14</v>
      </c>
      <c r="AE16" s="41">
        <v>13</v>
      </c>
      <c r="AF16" s="41">
        <v>11</v>
      </c>
      <c r="AG16" s="41">
        <v>19</v>
      </c>
      <c r="AH16" s="41">
        <v>21</v>
      </c>
      <c r="AI16" s="41">
        <v>16</v>
      </c>
      <c r="AJ16" s="41">
        <v>11</v>
      </c>
      <c r="AK16" s="41">
        <v>17</v>
      </c>
      <c r="AL16" s="41">
        <v>5</v>
      </c>
      <c r="AM16" s="41">
        <v>12</v>
      </c>
      <c r="AN16" s="41">
        <v>13</v>
      </c>
      <c r="AO16" s="41">
        <v>17</v>
      </c>
      <c r="AP16" s="41">
        <v>13</v>
      </c>
      <c r="AQ16" s="41">
        <v>9</v>
      </c>
      <c r="AR16" s="41">
        <v>10</v>
      </c>
      <c r="AS16" s="41">
        <v>12</v>
      </c>
      <c r="AT16" s="41">
        <v>4</v>
      </c>
      <c r="AU16" s="41">
        <v>7</v>
      </c>
      <c r="AV16" s="41">
        <v>13</v>
      </c>
      <c r="AW16" s="41">
        <v>7</v>
      </c>
      <c r="AX16" s="41">
        <v>12</v>
      </c>
      <c r="AY16" s="41">
        <v>14</v>
      </c>
      <c r="AZ16" s="41">
        <v>6</v>
      </c>
      <c r="BA16" s="41">
        <v>14</v>
      </c>
      <c r="BB16" s="41">
        <v>11</v>
      </c>
      <c r="BC16" s="41">
        <v>19</v>
      </c>
    </row>
    <row r="17" spans="1:55" x14ac:dyDescent="0.2">
      <c r="A17" s="41">
        <v>34</v>
      </c>
      <c r="B17" s="41">
        <v>9</v>
      </c>
      <c r="C17" s="41">
        <v>14</v>
      </c>
      <c r="D17" s="41">
        <v>8</v>
      </c>
      <c r="E17" s="41">
        <v>7</v>
      </c>
      <c r="F17" s="41">
        <v>8</v>
      </c>
      <c r="G17" s="41">
        <v>16</v>
      </c>
      <c r="H17" s="41">
        <v>9</v>
      </c>
      <c r="I17" s="41">
        <v>13</v>
      </c>
      <c r="J17" s="41">
        <v>13</v>
      </c>
      <c r="K17" s="41">
        <v>13</v>
      </c>
      <c r="L17" s="41">
        <v>15</v>
      </c>
      <c r="M17" s="41">
        <v>11</v>
      </c>
      <c r="N17" s="41">
        <v>9</v>
      </c>
      <c r="O17" s="41">
        <v>8</v>
      </c>
      <c r="P17" s="41">
        <v>10</v>
      </c>
      <c r="Q17" s="41">
        <v>18</v>
      </c>
      <c r="R17" s="41">
        <v>6</v>
      </c>
      <c r="S17" s="41">
        <v>10</v>
      </c>
      <c r="T17" s="41">
        <v>17</v>
      </c>
      <c r="U17" s="41">
        <v>18</v>
      </c>
      <c r="V17" s="41">
        <v>17</v>
      </c>
      <c r="W17" s="41">
        <v>8</v>
      </c>
      <c r="X17" s="41">
        <v>7</v>
      </c>
      <c r="Y17" s="41">
        <v>19</v>
      </c>
      <c r="Z17" s="41"/>
      <c r="AA17" s="41"/>
      <c r="AB17" s="41"/>
      <c r="AC17" s="41">
        <v>16</v>
      </c>
      <c r="AD17" s="41">
        <v>15</v>
      </c>
      <c r="AE17" s="41">
        <v>13</v>
      </c>
      <c r="AF17" s="41">
        <v>11</v>
      </c>
      <c r="AG17" s="41">
        <v>20</v>
      </c>
      <c r="AH17" s="41">
        <v>27</v>
      </c>
      <c r="AI17" s="41">
        <v>17</v>
      </c>
      <c r="AJ17" s="41">
        <v>11</v>
      </c>
      <c r="AK17" s="41">
        <v>21</v>
      </c>
      <c r="AL17" s="41">
        <v>7</v>
      </c>
      <c r="AM17" s="41">
        <v>18</v>
      </c>
      <c r="AN17" s="41">
        <v>16</v>
      </c>
      <c r="AO17" s="41">
        <v>25</v>
      </c>
      <c r="AP17" s="41">
        <v>14</v>
      </c>
      <c r="AQ17" s="41">
        <v>12</v>
      </c>
      <c r="AR17" s="41">
        <v>9</v>
      </c>
      <c r="AS17" s="41">
        <v>10</v>
      </c>
      <c r="AT17" s="41">
        <v>6</v>
      </c>
      <c r="AU17" s="41">
        <v>8</v>
      </c>
      <c r="AV17" s="41">
        <v>11</v>
      </c>
      <c r="AW17" s="41">
        <v>7</v>
      </c>
      <c r="AX17" s="41">
        <v>14</v>
      </c>
      <c r="AY17" s="41">
        <v>14</v>
      </c>
      <c r="AZ17" s="41">
        <v>7</v>
      </c>
      <c r="BA17" s="41">
        <v>17</v>
      </c>
      <c r="BB17" s="41">
        <v>13</v>
      </c>
      <c r="BC17" s="41">
        <v>16</v>
      </c>
    </row>
    <row r="18" spans="1:55" x14ac:dyDescent="0.2">
      <c r="A18" s="41">
        <v>36</v>
      </c>
      <c r="B18" s="41">
        <v>7</v>
      </c>
      <c r="C18" s="41">
        <v>16</v>
      </c>
      <c r="D18" s="41">
        <v>7</v>
      </c>
      <c r="E18" s="41">
        <v>16</v>
      </c>
      <c r="F18" s="41">
        <v>11</v>
      </c>
      <c r="G18" s="41">
        <v>15</v>
      </c>
      <c r="H18" s="41">
        <v>9</v>
      </c>
      <c r="I18" s="41">
        <v>12</v>
      </c>
      <c r="J18" s="41">
        <v>8</v>
      </c>
      <c r="K18" s="41">
        <v>13</v>
      </c>
      <c r="L18" s="41">
        <v>16</v>
      </c>
      <c r="M18" s="41">
        <v>11</v>
      </c>
      <c r="N18" s="41">
        <v>12</v>
      </c>
      <c r="O18" s="41">
        <v>10</v>
      </c>
      <c r="P18" s="41">
        <v>11</v>
      </c>
      <c r="Q18" s="41">
        <v>18</v>
      </c>
      <c r="R18" s="41">
        <v>8</v>
      </c>
      <c r="S18" s="41">
        <v>13</v>
      </c>
      <c r="T18" s="41">
        <v>20</v>
      </c>
      <c r="U18" s="41">
        <v>19</v>
      </c>
      <c r="V18" s="41">
        <v>15</v>
      </c>
      <c r="W18" s="41">
        <v>8</v>
      </c>
      <c r="X18" s="41">
        <v>5</v>
      </c>
      <c r="Y18" s="41">
        <v>18</v>
      </c>
      <c r="Z18" s="41"/>
      <c r="AA18" s="41"/>
      <c r="AB18" s="41"/>
      <c r="AC18" s="41">
        <v>16</v>
      </c>
      <c r="AD18" s="41">
        <v>15</v>
      </c>
      <c r="AE18" s="41">
        <v>10</v>
      </c>
      <c r="AF18" s="41">
        <v>10</v>
      </c>
      <c r="AG18" s="41">
        <v>20</v>
      </c>
      <c r="AH18" s="41">
        <v>26</v>
      </c>
      <c r="AI18" s="41">
        <v>15</v>
      </c>
      <c r="AJ18" s="41">
        <v>10</v>
      </c>
      <c r="AK18" s="41">
        <v>18</v>
      </c>
      <c r="AL18" s="41">
        <v>10</v>
      </c>
      <c r="AM18" s="41">
        <v>17</v>
      </c>
      <c r="AN18" s="41">
        <v>14</v>
      </c>
      <c r="AO18" s="41">
        <v>17</v>
      </c>
      <c r="AP18" s="41">
        <v>12</v>
      </c>
      <c r="AQ18" s="41">
        <v>10</v>
      </c>
      <c r="AR18" s="41">
        <v>10</v>
      </c>
      <c r="AS18" s="41">
        <v>12</v>
      </c>
      <c r="AT18" s="41">
        <v>6</v>
      </c>
      <c r="AU18" s="41">
        <v>10</v>
      </c>
      <c r="AV18" s="41">
        <v>11</v>
      </c>
      <c r="AW18" s="41">
        <v>10</v>
      </c>
      <c r="AX18" s="41">
        <v>13</v>
      </c>
      <c r="AY18" s="41">
        <v>15</v>
      </c>
      <c r="AZ18" s="41">
        <v>11</v>
      </c>
      <c r="BA18" s="41">
        <v>17</v>
      </c>
      <c r="BB18" s="41">
        <v>15</v>
      </c>
      <c r="BC18" s="41">
        <v>19</v>
      </c>
    </row>
    <row r="19" spans="1:55" x14ac:dyDescent="0.2">
      <c r="A19" s="41">
        <v>38</v>
      </c>
      <c r="B19" s="41">
        <v>8</v>
      </c>
      <c r="C19" s="41">
        <v>16</v>
      </c>
      <c r="D19" s="41">
        <v>5</v>
      </c>
      <c r="E19" s="41">
        <v>11</v>
      </c>
      <c r="F19" s="41">
        <v>11</v>
      </c>
      <c r="G19" s="41">
        <v>14</v>
      </c>
      <c r="H19" s="41">
        <v>13</v>
      </c>
      <c r="I19" s="41">
        <v>12</v>
      </c>
      <c r="J19" s="41">
        <v>10</v>
      </c>
      <c r="K19" s="41">
        <v>18</v>
      </c>
      <c r="L19" s="41">
        <v>13</v>
      </c>
      <c r="M19" s="41">
        <v>13</v>
      </c>
      <c r="N19" s="41">
        <v>10</v>
      </c>
      <c r="O19" s="41">
        <v>10</v>
      </c>
      <c r="P19" s="41">
        <v>13</v>
      </c>
      <c r="Q19" s="41">
        <v>19</v>
      </c>
      <c r="R19" s="41">
        <v>7</v>
      </c>
      <c r="S19" s="41">
        <v>11</v>
      </c>
      <c r="T19" s="41">
        <v>20</v>
      </c>
      <c r="U19" s="41">
        <v>21</v>
      </c>
      <c r="V19" s="41">
        <v>13</v>
      </c>
      <c r="W19" s="41">
        <v>7</v>
      </c>
      <c r="X19" s="41">
        <v>5</v>
      </c>
      <c r="Y19" s="41">
        <v>21</v>
      </c>
      <c r="Z19" s="41"/>
      <c r="AA19" s="41"/>
      <c r="AB19" s="41"/>
      <c r="AC19" s="41">
        <v>18</v>
      </c>
      <c r="AD19" s="41">
        <v>12</v>
      </c>
      <c r="AE19" s="41">
        <v>12</v>
      </c>
      <c r="AF19" s="41">
        <v>14</v>
      </c>
      <c r="AG19" s="41">
        <v>21</v>
      </c>
      <c r="AH19" s="41">
        <v>26</v>
      </c>
      <c r="AI19" s="41">
        <v>19</v>
      </c>
      <c r="AJ19" s="41">
        <v>13</v>
      </c>
      <c r="AK19" s="41">
        <v>21</v>
      </c>
      <c r="AL19" s="41">
        <v>12</v>
      </c>
      <c r="AM19" s="41">
        <v>19</v>
      </c>
      <c r="AN19" s="41">
        <v>16</v>
      </c>
      <c r="AO19" s="41">
        <v>17</v>
      </c>
      <c r="AP19" s="41">
        <v>12</v>
      </c>
      <c r="AQ19" s="41">
        <v>10</v>
      </c>
      <c r="AR19" s="41">
        <v>7</v>
      </c>
      <c r="AS19" s="41">
        <v>11</v>
      </c>
      <c r="AT19" s="41">
        <v>9</v>
      </c>
      <c r="AU19" s="41">
        <v>11</v>
      </c>
      <c r="AV19" s="41">
        <v>12</v>
      </c>
      <c r="AW19" s="41">
        <v>8</v>
      </c>
      <c r="AX19" s="41">
        <v>16</v>
      </c>
      <c r="AY19" s="41">
        <v>17</v>
      </c>
      <c r="AZ19" s="41">
        <v>12</v>
      </c>
      <c r="BA19" s="41">
        <v>22</v>
      </c>
      <c r="BB19" s="41">
        <v>11</v>
      </c>
      <c r="BC19" s="41">
        <v>21</v>
      </c>
    </row>
    <row r="20" spans="1:55" x14ac:dyDescent="0.2">
      <c r="A20" s="41">
        <v>40</v>
      </c>
      <c r="B20" s="41">
        <v>8</v>
      </c>
      <c r="C20" s="41">
        <v>16</v>
      </c>
      <c r="D20" s="41">
        <v>8</v>
      </c>
      <c r="E20" s="41">
        <v>16</v>
      </c>
      <c r="F20" s="41">
        <v>12</v>
      </c>
      <c r="G20" s="41">
        <v>11</v>
      </c>
      <c r="H20" s="41">
        <v>11</v>
      </c>
      <c r="I20" s="41">
        <v>10</v>
      </c>
      <c r="J20" s="41">
        <v>12</v>
      </c>
      <c r="K20" s="41">
        <v>18</v>
      </c>
      <c r="L20" s="41">
        <v>15</v>
      </c>
      <c r="M20" s="41">
        <v>14</v>
      </c>
      <c r="N20" s="41">
        <v>9</v>
      </c>
      <c r="O20" s="41">
        <v>11</v>
      </c>
      <c r="P20" s="41">
        <v>10</v>
      </c>
      <c r="Q20" s="41">
        <v>16</v>
      </c>
      <c r="R20" s="41">
        <v>8</v>
      </c>
      <c r="S20" s="41">
        <v>9</v>
      </c>
      <c r="T20" s="41">
        <v>20</v>
      </c>
      <c r="U20" s="41">
        <v>21</v>
      </c>
      <c r="V20" s="41">
        <v>17</v>
      </c>
      <c r="W20" s="41">
        <v>10</v>
      </c>
      <c r="X20" s="41">
        <v>8</v>
      </c>
      <c r="Y20" s="41">
        <v>16</v>
      </c>
      <c r="Z20" s="41"/>
      <c r="AA20" s="41"/>
      <c r="AB20" s="41"/>
      <c r="AC20" s="41">
        <v>16</v>
      </c>
      <c r="AD20" s="41">
        <v>11</v>
      </c>
      <c r="AE20" s="41">
        <v>13</v>
      </c>
      <c r="AF20" s="41">
        <v>16</v>
      </c>
      <c r="AG20" s="41">
        <v>22</v>
      </c>
      <c r="AH20" s="41">
        <v>29</v>
      </c>
      <c r="AI20" s="41">
        <v>14</v>
      </c>
      <c r="AJ20" s="41">
        <v>13</v>
      </c>
      <c r="AK20" s="41">
        <v>15</v>
      </c>
      <c r="AL20" s="41">
        <v>14</v>
      </c>
      <c r="AM20" s="41">
        <v>11</v>
      </c>
      <c r="AN20" s="41">
        <v>18</v>
      </c>
      <c r="AO20" s="41">
        <v>22</v>
      </c>
      <c r="AP20" s="41">
        <v>22</v>
      </c>
      <c r="AQ20" s="41">
        <v>13</v>
      </c>
      <c r="AR20" s="41">
        <v>11</v>
      </c>
      <c r="AS20" s="41">
        <v>11</v>
      </c>
      <c r="AT20" s="41">
        <v>9</v>
      </c>
      <c r="AU20" s="41">
        <v>13</v>
      </c>
      <c r="AV20" s="41">
        <v>12</v>
      </c>
      <c r="AW20" s="41">
        <v>12</v>
      </c>
      <c r="AX20" s="41">
        <v>15</v>
      </c>
      <c r="AY20" s="41">
        <v>13</v>
      </c>
      <c r="AZ20" s="41">
        <v>11</v>
      </c>
      <c r="BA20" s="41">
        <v>21</v>
      </c>
      <c r="BB20" s="41">
        <v>14</v>
      </c>
      <c r="BC20" s="41">
        <v>21</v>
      </c>
    </row>
    <row r="21" spans="1:55" x14ac:dyDescent="0.2">
      <c r="A21" s="41">
        <v>42</v>
      </c>
      <c r="B21" s="41">
        <v>11</v>
      </c>
      <c r="C21" s="41">
        <v>14</v>
      </c>
      <c r="D21" s="41">
        <v>8</v>
      </c>
      <c r="E21" s="41">
        <v>13</v>
      </c>
      <c r="F21" s="41">
        <v>12</v>
      </c>
      <c r="G21" s="41">
        <v>15</v>
      </c>
      <c r="H21" s="41">
        <v>13</v>
      </c>
      <c r="I21" s="41">
        <v>14</v>
      </c>
      <c r="J21" s="41">
        <v>10</v>
      </c>
      <c r="K21" s="41">
        <v>17</v>
      </c>
      <c r="L21" s="41">
        <v>16</v>
      </c>
      <c r="M21" s="41">
        <v>11</v>
      </c>
      <c r="N21" s="41">
        <v>11</v>
      </c>
      <c r="O21" s="41">
        <v>10</v>
      </c>
      <c r="P21" s="41">
        <v>13</v>
      </c>
      <c r="Q21" s="41">
        <v>19</v>
      </c>
      <c r="R21" s="41">
        <v>13</v>
      </c>
      <c r="S21" s="41">
        <v>12</v>
      </c>
      <c r="T21" s="41">
        <v>23</v>
      </c>
      <c r="U21" s="41">
        <v>23</v>
      </c>
      <c r="V21" s="41">
        <v>14</v>
      </c>
      <c r="W21" s="41">
        <v>14</v>
      </c>
      <c r="X21" s="41">
        <v>10</v>
      </c>
      <c r="Y21" s="41">
        <v>18</v>
      </c>
      <c r="Z21" s="41"/>
      <c r="AA21" s="41"/>
      <c r="AB21" s="41"/>
      <c r="AC21" s="41">
        <v>16</v>
      </c>
      <c r="AD21" s="41">
        <v>13</v>
      </c>
      <c r="AE21" s="41">
        <v>10</v>
      </c>
      <c r="AF21" s="41">
        <v>12</v>
      </c>
      <c r="AG21" s="41">
        <v>23</v>
      </c>
      <c r="AH21" s="41">
        <v>34</v>
      </c>
      <c r="AI21" s="41">
        <v>18</v>
      </c>
      <c r="AJ21" s="41">
        <v>15</v>
      </c>
      <c r="AK21" s="41">
        <v>23</v>
      </c>
      <c r="AL21" s="41">
        <v>14</v>
      </c>
      <c r="AM21" s="41">
        <v>13</v>
      </c>
      <c r="AN21" s="41">
        <v>16</v>
      </c>
      <c r="AO21" s="41">
        <v>21</v>
      </c>
      <c r="AP21" s="41">
        <v>18</v>
      </c>
      <c r="AQ21" s="41">
        <v>12</v>
      </c>
      <c r="AR21" s="41">
        <v>16</v>
      </c>
      <c r="AS21" s="41">
        <v>11</v>
      </c>
      <c r="AT21" s="41">
        <v>11</v>
      </c>
      <c r="AU21" s="41">
        <v>12</v>
      </c>
      <c r="AV21" s="41">
        <v>15</v>
      </c>
      <c r="AW21" s="41">
        <v>15</v>
      </c>
      <c r="AX21" s="41">
        <v>14</v>
      </c>
      <c r="AY21" s="41">
        <v>17</v>
      </c>
      <c r="AZ21" s="41">
        <v>11</v>
      </c>
      <c r="BA21" s="41">
        <v>21</v>
      </c>
      <c r="BB21" s="41">
        <v>10</v>
      </c>
      <c r="BC21" s="41">
        <v>21</v>
      </c>
    </row>
    <row r="22" spans="1:55" x14ac:dyDescent="0.2">
      <c r="A22" s="41">
        <v>44</v>
      </c>
      <c r="B22" s="41">
        <v>10</v>
      </c>
      <c r="C22" s="41">
        <v>13</v>
      </c>
      <c r="D22" s="41">
        <v>7</v>
      </c>
      <c r="E22" s="41">
        <v>13</v>
      </c>
      <c r="F22" s="41">
        <v>11</v>
      </c>
      <c r="G22" s="41">
        <v>18</v>
      </c>
      <c r="H22" s="41">
        <v>14</v>
      </c>
      <c r="I22" s="41">
        <v>16</v>
      </c>
      <c r="J22" s="41">
        <v>11</v>
      </c>
      <c r="K22" s="41">
        <v>17</v>
      </c>
      <c r="L22" s="41">
        <v>14</v>
      </c>
      <c r="M22" s="41">
        <v>18</v>
      </c>
      <c r="N22" s="41">
        <v>16</v>
      </c>
      <c r="O22" s="41">
        <v>10</v>
      </c>
      <c r="P22" s="41">
        <v>12</v>
      </c>
      <c r="Q22" s="41">
        <v>20</v>
      </c>
      <c r="R22" s="41">
        <v>17</v>
      </c>
      <c r="S22" s="41">
        <v>14</v>
      </c>
      <c r="T22" s="41">
        <v>21</v>
      </c>
      <c r="U22" s="41">
        <v>19</v>
      </c>
      <c r="V22" s="41">
        <v>17</v>
      </c>
      <c r="W22" s="41">
        <v>17</v>
      </c>
      <c r="X22" s="41">
        <v>11</v>
      </c>
      <c r="Y22" s="41">
        <v>19</v>
      </c>
      <c r="Z22" s="41"/>
      <c r="AA22" s="41"/>
      <c r="AB22" s="41"/>
      <c r="AC22" s="41">
        <v>21</v>
      </c>
      <c r="AD22" s="41">
        <v>13</v>
      </c>
      <c r="AE22" s="41">
        <v>8</v>
      </c>
      <c r="AF22" s="41">
        <v>13</v>
      </c>
      <c r="AG22" s="41">
        <v>20</v>
      </c>
      <c r="AH22" s="41">
        <v>29</v>
      </c>
      <c r="AI22" s="41">
        <v>16</v>
      </c>
      <c r="AJ22" s="41">
        <v>13</v>
      </c>
      <c r="AK22" s="41">
        <v>24</v>
      </c>
      <c r="AL22" s="41">
        <v>11</v>
      </c>
      <c r="AM22" s="41">
        <v>16</v>
      </c>
      <c r="AN22" s="41">
        <v>15</v>
      </c>
      <c r="AO22" s="41">
        <v>23</v>
      </c>
      <c r="AP22" s="41">
        <v>19</v>
      </c>
      <c r="AQ22" s="41">
        <v>11</v>
      </c>
      <c r="AR22" s="41">
        <v>17</v>
      </c>
      <c r="AS22" s="41">
        <v>14</v>
      </c>
      <c r="AT22" s="41">
        <v>12</v>
      </c>
      <c r="AU22" s="41">
        <v>16</v>
      </c>
      <c r="AV22" s="41">
        <v>15</v>
      </c>
      <c r="AW22" s="41">
        <v>15</v>
      </c>
      <c r="AX22" s="41">
        <v>12</v>
      </c>
      <c r="AY22" s="41">
        <v>14</v>
      </c>
      <c r="AZ22" s="41">
        <v>13</v>
      </c>
      <c r="BA22" s="41">
        <v>18</v>
      </c>
      <c r="BB22" s="41">
        <v>10</v>
      </c>
      <c r="BC22" s="41">
        <v>24</v>
      </c>
    </row>
    <row r="23" spans="1:55" x14ac:dyDescent="0.2">
      <c r="A23" s="41">
        <v>46</v>
      </c>
      <c r="B23" s="41">
        <v>11</v>
      </c>
      <c r="C23" s="41">
        <v>12</v>
      </c>
      <c r="D23" s="41">
        <v>9</v>
      </c>
      <c r="E23" s="41">
        <v>17</v>
      </c>
      <c r="F23" s="41">
        <v>12</v>
      </c>
      <c r="G23" s="41">
        <v>20</v>
      </c>
      <c r="H23" s="41">
        <v>14</v>
      </c>
      <c r="I23" s="41">
        <v>15</v>
      </c>
      <c r="J23" s="41">
        <v>10</v>
      </c>
      <c r="K23" s="41">
        <v>21</v>
      </c>
      <c r="L23" s="41">
        <v>12</v>
      </c>
      <c r="M23" s="41">
        <v>18</v>
      </c>
      <c r="N23" s="41">
        <v>11</v>
      </c>
      <c r="O23" s="41">
        <v>12</v>
      </c>
      <c r="P23" s="41">
        <v>11</v>
      </c>
      <c r="Q23" s="41">
        <v>25</v>
      </c>
      <c r="R23" s="41">
        <v>15</v>
      </c>
      <c r="S23" s="41">
        <v>15</v>
      </c>
      <c r="T23" s="41">
        <v>24</v>
      </c>
      <c r="U23" s="41">
        <v>17</v>
      </c>
      <c r="V23" s="41">
        <v>16</v>
      </c>
      <c r="W23" s="41">
        <v>15</v>
      </c>
      <c r="X23" s="41">
        <v>12</v>
      </c>
      <c r="Y23" s="41">
        <v>26</v>
      </c>
      <c r="Z23" s="41"/>
      <c r="AA23" s="41"/>
      <c r="AB23" s="41"/>
      <c r="AC23" s="41">
        <v>18</v>
      </c>
      <c r="AD23" s="41">
        <v>14</v>
      </c>
      <c r="AE23" s="41">
        <v>12</v>
      </c>
      <c r="AF23" s="41">
        <v>20</v>
      </c>
      <c r="AG23" s="41">
        <v>20</v>
      </c>
      <c r="AH23" s="41">
        <v>34</v>
      </c>
      <c r="AI23" s="41">
        <v>22</v>
      </c>
      <c r="AJ23" s="41">
        <v>14</v>
      </c>
      <c r="AK23" s="41">
        <v>26</v>
      </c>
      <c r="AL23" s="41">
        <v>15</v>
      </c>
      <c r="AM23" s="41">
        <v>13</v>
      </c>
      <c r="AN23" s="41">
        <v>13</v>
      </c>
      <c r="AO23" s="41">
        <v>23</v>
      </c>
      <c r="AP23" s="41">
        <v>18</v>
      </c>
      <c r="AQ23" s="41">
        <v>12</v>
      </c>
      <c r="AR23" s="41">
        <v>13</v>
      </c>
      <c r="AS23" s="41">
        <v>15</v>
      </c>
      <c r="AT23" s="41">
        <v>12</v>
      </c>
      <c r="AU23" s="41">
        <v>18</v>
      </c>
      <c r="AV23" s="41">
        <v>13</v>
      </c>
      <c r="AW23" s="41">
        <v>14</v>
      </c>
      <c r="AX23" s="41">
        <v>12</v>
      </c>
      <c r="AY23" s="41">
        <v>17</v>
      </c>
      <c r="AZ23" s="41">
        <v>14</v>
      </c>
      <c r="BA23" s="41">
        <v>23</v>
      </c>
      <c r="BB23" s="41">
        <v>14</v>
      </c>
      <c r="BC23" s="41">
        <v>28</v>
      </c>
    </row>
    <row r="24" spans="1:55" x14ac:dyDescent="0.2">
      <c r="A24" s="41">
        <v>48</v>
      </c>
      <c r="B24" s="41">
        <v>12</v>
      </c>
      <c r="C24" s="41">
        <v>14</v>
      </c>
      <c r="D24" s="41">
        <v>12</v>
      </c>
      <c r="E24" s="41">
        <v>16</v>
      </c>
      <c r="F24" s="41">
        <v>17</v>
      </c>
      <c r="G24" s="41">
        <v>18</v>
      </c>
      <c r="H24" s="41">
        <v>17</v>
      </c>
      <c r="I24" s="41">
        <v>14</v>
      </c>
      <c r="J24" s="41">
        <v>10</v>
      </c>
      <c r="K24" s="41">
        <v>19</v>
      </c>
      <c r="L24" s="41">
        <v>16</v>
      </c>
      <c r="M24" s="41">
        <v>20</v>
      </c>
      <c r="N24" s="41">
        <v>13</v>
      </c>
      <c r="O24" s="41">
        <v>12</v>
      </c>
      <c r="P24" s="41">
        <v>13</v>
      </c>
      <c r="Q24" s="41">
        <v>23</v>
      </c>
      <c r="R24" s="41">
        <v>17</v>
      </c>
      <c r="S24" s="41">
        <v>14</v>
      </c>
      <c r="T24" s="41">
        <v>21</v>
      </c>
      <c r="U24" s="41">
        <v>19</v>
      </c>
      <c r="V24" s="41">
        <v>16</v>
      </c>
      <c r="W24" s="41">
        <v>13</v>
      </c>
      <c r="X24" s="41">
        <v>9</v>
      </c>
      <c r="Y24" s="41">
        <v>23</v>
      </c>
      <c r="Z24" s="41"/>
      <c r="AA24" s="41"/>
      <c r="AB24" s="41"/>
      <c r="AC24" s="41">
        <v>22</v>
      </c>
      <c r="AD24" s="41">
        <v>16</v>
      </c>
      <c r="AE24" s="41">
        <v>13</v>
      </c>
      <c r="AF24" s="41">
        <v>17</v>
      </c>
      <c r="AG24" s="41">
        <v>18</v>
      </c>
      <c r="AH24" s="41">
        <v>28</v>
      </c>
      <c r="AI24" s="41">
        <v>23</v>
      </c>
      <c r="AJ24" s="41">
        <v>17</v>
      </c>
      <c r="AK24" s="41">
        <v>29</v>
      </c>
      <c r="AL24" s="41">
        <v>14</v>
      </c>
      <c r="AM24" s="41">
        <v>15</v>
      </c>
      <c r="AN24" s="41">
        <v>16</v>
      </c>
      <c r="AO24" s="41">
        <v>28</v>
      </c>
      <c r="AP24" s="41">
        <v>20</v>
      </c>
      <c r="AQ24" s="41">
        <v>18</v>
      </c>
      <c r="AR24" s="41">
        <v>13</v>
      </c>
      <c r="AS24" s="41">
        <v>16</v>
      </c>
      <c r="AT24" s="41">
        <v>10</v>
      </c>
      <c r="AU24" s="41">
        <v>15</v>
      </c>
      <c r="AV24" s="41">
        <v>11</v>
      </c>
      <c r="AW24" s="41">
        <v>15</v>
      </c>
      <c r="AX24" s="41">
        <v>12</v>
      </c>
      <c r="AY24" s="41">
        <v>15</v>
      </c>
      <c r="AZ24" s="41">
        <v>15</v>
      </c>
      <c r="BA24" s="41">
        <v>24</v>
      </c>
      <c r="BB24" s="41">
        <v>8</v>
      </c>
      <c r="BC24" s="41">
        <v>29</v>
      </c>
    </row>
    <row r="25" spans="1:55" x14ac:dyDescent="0.2">
      <c r="A25" s="41">
        <v>50</v>
      </c>
      <c r="B25" s="41">
        <v>11</v>
      </c>
      <c r="C25" s="41">
        <v>12</v>
      </c>
      <c r="D25" s="41">
        <v>11</v>
      </c>
      <c r="E25" s="41">
        <v>17</v>
      </c>
      <c r="F25" s="41">
        <v>13</v>
      </c>
      <c r="G25" s="41">
        <v>17</v>
      </c>
      <c r="H25" s="41">
        <v>19</v>
      </c>
      <c r="I25" s="41">
        <v>13</v>
      </c>
      <c r="J25" s="41">
        <v>15</v>
      </c>
      <c r="K25" s="41">
        <v>21</v>
      </c>
      <c r="L25" s="41">
        <v>19</v>
      </c>
      <c r="M25" s="41">
        <v>25</v>
      </c>
      <c r="N25" s="41">
        <v>14</v>
      </c>
      <c r="O25" s="41">
        <v>12</v>
      </c>
      <c r="P25" s="41">
        <v>12</v>
      </c>
      <c r="Q25" s="41">
        <v>25</v>
      </c>
      <c r="R25" s="41">
        <v>19</v>
      </c>
      <c r="S25" s="41">
        <v>16</v>
      </c>
      <c r="T25" s="41">
        <v>28</v>
      </c>
      <c r="U25" s="41">
        <v>18</v>
      </c>
      <c r="V25" s="41">
        <v>19</v>
      </c>
      <c r="W25" s="41">
        <v>17</v>
      </c>
      <c r="X25" s="41">
        <v>12</v>
      </c>
      <c r="Y25" s="41">
        <v>22</v>
      </c>
      <c r="Z25" s="41"/>
      <c r="AA25" s="41"/>
      <c r="AB25" s="41"/>
      <c r="AC25" s="41">
        <v>21</v>
      </c>
      <c r="AD25" s="41">
        <v>19</v>
      </c>
      <c r="AE25" s="41">
        <v>14</v>
      </c>
      <c r="AF25" s="41">
        <v>19</v>
      </c>
      <c r="AG25" s="41">
        <v>22</v>
      </c>
      <c r="AH25" s="41">
        <v>38</v>
      </c>
      <c r="AI25" s="41">
        <v>27</v>
      </c>
      <c r="AJ25" s="41">
        <v>15</v>
      </c>
      <c r="AK25" s="41">
        <v>23</v>
      </c>
      <c r="AL25" s="41">
        <v>10</v>
      </c>
      <c r="AM25" s="41">
        <v>13</v>
      </c>
      <c r="AN25" s="41">
        <v>19</v>
      </c>
      <c r="AO25" s="41">
        <v>23</v>
      </c>
      <c r="AP25" s="41">
        <v>22</v>
      </c>
      <c r="AQ25" s="41">
        <v>13</v>
      </c>
      <c r="AR25" s="41">
        <v>12</v>
      </c>
      <c r="AS25" s="41">
        <v>19</v>
      </c>
      <c r="AT25" s="41">
        <v>10</v>
      </c>
      <c r="AU25" s="41">
        <v>18</v>
      </c>
      <c r="AV25" s="41">
        <v>14</v>
      </c>
      <c r="AW25" s="41">
        <v>15</v>
      </c>
      <c r="AX25" s="41">
        <v>12</v>
      </c>
      <c r="AY25" s="41">
        <v>17</v>
      </c>
      <c r="AZ25" s="41">
        <v>15</v>
      </c>
      <c r="BA25" s="41">
        <v>24</v>
      </c>
      <c r="BB25" s="41">
        <v>9</v>
      </c>
      <c r="BC25" s="41">
        <v>25</v>
      </c>
    </row>
    <row r="26" spans="1:55" x14ac:dyDescent="0.2">
      <c r="A26" s="41">
        <v>52</v>
      </c>
      <c r="B26" s="41">
        <v>15</v>
      </c>
      <c r="C26" s="41">
        <v>11</v>
      </c>
      <c r="D26" s="41">
        <v>13</v>
      </c>
      <c r="E26" s="41">
        <v>20</v>
      </c>
      <c r="F26" s="41">
        <v>12</v>
      </c>
      <c r="G26" s="41">
        <v>18</v>
      </c>
      <c r="H26" s="41">
        <v>16</v>
      </c>
      <c r="I26" s="41">
        <v>15</v>
      </c>
      <c r="J26" s="41">
        <v>15</v>
      </c>
      <c r="K26" s="41">
        <v>24</v>
      </c>
      <c r="L26" s="41">
        <v>17</v>
      </c>
      <c r="M26" s="41">
        <v>22</v>
      </c>
      <c r="N26" s="41">
        <v>15</v>
      </c>
      <c r="O26" s="41">
        <v>15</v>
      </c>
      <c r="P26" s="41">
        <v>11</v>
      </c>
      <c r="Q26" s="41">
        <v>21</v>
      </c>
      <c r="R26" s="41">
        <v>15</v>
      </c>
      <c r="S26" s="41">
        <v>15</v>
      </c>
      <c r="T26" s="41">
        <v>25</v>
      </c>
      <c r="U26" s="41">
        <v>20</v>
      </c>
      <c r="V26" s="41">
        <v>19</v>
      </c>
      <c r="W26" s="41">
        <v>16</v>
      </c>
      <c r="X26" s="41">
        <v>13</v>
      </c>
      <c r="Y26" s="41">
        <v>21</v>
      </c>
      <c r="Z26" s="41"/>
      <c r="AA26" s="41"/>
      <c r="AB26" s="41"/>
      <c r="AC26" s="41">
        <v>20</v>
      </c>
      <c r="AD26" s="41">
        <v>20</v>
      </c>
      <c r="AE26" s="41">
        <v>11</v>
      </c>
      <c r="AF26" s="41">
        <v>23</v>
      </c>
      <c r="AG26" s="41">
        <v>26</v>
      </c>
      <c r="AH26" s="41">
        <v>38</v>
      </c>
      <c r="AI26" s="41">
        <v>25</v>
      </c>
      <c r="AJ26" s="41">
        <v>20</v>
      </c>
      <c r="AK26" s="41">
        <v>18</v>
      </c>
      <c r="AL26" s="41">
        <v>11</v>
      </c>
      <c r="AM26" s="41">
        <v>16</v>
      </c>
      <c r="AN26" s="41">
        <v>18</v>
      </c>
      <c r="AO26" s="41">
        <v>23</v>
      </c>
      <c r="AP26" s="41">
        <v>20</v>
      </c>
      <c r="AQ26" s="41">
        <v>16</v>
      </c>
      <c r="AR26" s="41">
        <v>13</v>
      </c>
      <c r="AS26" s="41">
        <v>18</v>
      </c>
      <c r="AT26" s="41">
        <v>12</v>
      </c>
      <c r="AU26" s="41">
        <v>19</v>
      </c>
      <c r="AV26" s="41">
        <v>12</v>
      </c>
      <c r="AW26" s="41">
        <v>18</v>
      </c>
      <c r="AX26" s="41">
        <v>11</v>
      </c>
      <c r="AY26" s="41">
        <v>16</v>
      </c>
      <c r="AZ26" s="41">
        <v>14</v>
      </c>
      <c r="BA26" s="41">
        <v>27</v>
      </c>
      <c r="BB26" s="41">
        <v>13</v>
      </c>
      <c r="BC26" s="41">
        <v>27</v>
      </c>
    </row>
    <row r="27" spans="1:55" x14ac:dyDescent="0.2">
      <c r="A27" s="41">
        <v>54</v>
      </c>
      <c r="B27" s="41">
        <v>12</v>
      </c>
      <c r="C27" s="41">
        <v>12</v>
      </c>
      <c r="D27" s="41">
        <v>14</v>
      </c>
      <c r="E27" s="41">
        <v>18</v>
      </c>
      <c r="F27" s="41">
        <v>13</v>
      </c>
      <c r="G27" s="41">
        <v>22</v>
      </c>
      <c r="H27" s="41">
        <v>20</v>
      </c>
      <c r="I27" s="41">
        <v>15</v>
      </c>
      <c r="J27" s="41">
        <v>13</v>
      </c>
      <c r="K27" s="41">
        <v>23</v>
      </c>
      <c r="L27" s="41">
        <v>14</v>
      </c>
      <c r="M27" s="41">
        <v>21</v>
      </c>
      <c r="N27" s="41">
        <v>13</v>
      </c>
      <c r="O27" s="41">
        <v>12</v>
      </c>
      <c r="P27" s="41">
        <v>14</v>
      </c>
      <c r="Q27" s="41">
        <v>22</v>
      </c>
      <c r="R27" s="41">
        <v>16</v>
      </c>
      <c r="S27" s="41">
        <v>19</v>
      </c>
      <c r="T27" s="41">
        <v>29</v>
      </c>
      <c r="U27" s="41">
        <v>20</v>
      </c>
      <c r="V27" s="41">
        <v>20</v>
      </c>
      <c r="W27" s="41">
        <v>19</v>
      </c>
      <c r="X27" s="41">
        <v>14</v>
      </c>
      <c r="Y27" s="41">
        <v>20</v>
      </c>
      <c r="Z27" s="41"/>
      <c r="AA27" s="41"/>
      <c r="AB27" s="41"/>
      <c r="AC27" s="41">
        <v>18</v>
      </c>
      <c r="AD27" s="41">
        <v>18</v>
      </c>
      <c r="AE27" s="41">
        <v>12</v>
      </c>
      <c r="AF27" s="41">
        <v>22</v>
      </c>
      <c r="AG27" s="41">
        <v>33</v>
      </c>
      <c r="AH27" s="41">
        <v>31</v>
      </c>
      <c r="AI27" s="41">
        <v>20</v>
      </c>
      <c r="AJ27" s="41">
        <v>19</v>
      </c>
      <c r="AK27" s="41">
        <v>18</v>
      </c>
      <c r="AL27" s="41">
        <v>14</v>
      </c>
      <c r="AM27" s="41">
        <v>19</v>
      </c>
      <c r="AN27" s="41">
        <v>18</v>
      </c>
      <c r="AO27" s="41">
        <v>23</v>
      </c>
      <c r="AP27" s="41">
        <v>18</v>
      </c>
      <c r="AQ27" s="41">
        <v>17</v>
      </c>
      <c r="AR27" s="41">
        <v>17</v>
      </c>
      <c r="AS27" s="41">
        <v>21</v>
      </c>
      <c r="AT27" s="41">
        <v>17</v>
      </c>
      <c r="AU27" s="41">
        <v>18</v>
      </c>
      <c r="AV27" s="41">
        <v>17</v>
      </c>
      <c r="AW27" s="41">
        <v>17</v>
      </c>
      <c r="AX27" s="41">
        <v>12</v>
      </c>
      <c r="AY27" s="41">
        <v>16</v>
      </c>
      <c r="AZ27" s="41">
        <v>16</v>
      </c>
      <c r="BA27" s="41">
        <v>29</v>
      </c>
      <c r="BB27" s="41">
        <v>9</v>
      </c>
      <c r="BC27" s="41">
        <v>28</v>
      </c>
    </row>
    <row r="28" spans="1:55" x14ac:dyDescent="0.2">
      <c r="A28" s="41">
        <v>56</v>
      </c>
      <c r="B28" s="41">
        <v>11</v>
      </c>
      <c r="C28" s="41">
        <v>11</v>
      </c>
      <c r="D28" s="41">
        <v>12</v>
      </c>
      <c r="E28" s="41">
        <v>15</v>
      </c>
      <c r="F28" s="41">
        <v>17</v>
      </c>
      <c r="G28" s="41">
        <v>21</v>
      </c>
      <c r="H28" s="41">
        <v>22</v>
      </c>
      <c r="I28" s="41">
        <v>21</v>
      </c>
      <c r="J28" s="41">
        <v>15</v>
      </c>
      <c r="K28" s="41">
        <v>22</v>
      </c>
      <c r="L28" s="41">
        <v>15</v>
      </c>
      <c r="M28" s="41">
        <v>20</v>
      </c>
      <c r="N28" s="41">
        <v>17</v>
      </c>
      <c r="O28" s="41">
        <v>13</v>
      </c>
      <c r="P28" s="41">
        <v>14</v>
      </c>
      <c r="Q28" s="41">
        <v>23</v>
      </c>
      <c r="R28" s="41">
        <v>26</v>
      </c>
      <c r="S28" s="41">
        <v>18</v>
      </c>
      <c r="T28" s="41">
        <v>26</v>
      </c>
      <c r="U28" s="41">
        <v>22</v>
      </c>
      <c r="V28" s="41">
        <v>17</v>
      </c>
      <c r="W28" s="41">
        <v>22</v>
      </c>
      <c r="X28" s="41">
        <v>18</v>
      </c>
      <c r="Y28" s="41">
        <v>23</v>
      </c>
      <c r="Z28" s="41"/>
      <c r="AA28" s="41"/>
      <c r="AB28" s="41"/>
      <c r="AC28" s="41">
        <v>20</v>
      </c>
      <c r="AD28" s="41">
        <v>16</v>
      </c>
      <c r="AE28" s="41">
        <v>16</v>
      </c>
      <c r="AF28" s="41">
        <v>23</v>
      </c>
      <c r="AG28" s="41">
        <v>23</v>
      </c>
      <c r="AH28" s="41">
        <v>27</v>
      </c>
      <c r="AI28" s="41">
        <v>22</v>
      </c>
      <c r="AJ28" s="41">
        <v>19</v>
      </c>
      <c r="AK28" s="41">
        <v>17</v>
      </c>
      <c r="AL28" s="41">
        <v>16</v>
      </c>
      <c r="AM28" s="41">
        <v>18</v>
      </c>
      <c r="AN28" s="41">
        <v>18</v>
      </c>
      <c r="AO28" s="41">
        <v>22</v>
      </c>
      <c r="AP28" s="41">
        <v>23</v>
      </c>
      <c r="AQ28" s="41">
        <v>18</v>
      </c>
      <c r="AR28" s="41">
        <v>10</v>
      </c>
      <c r="AS28" s="41">
        <v>21</v>
      </c>
      <c r="AT28" s="41">
        <v>17</v>
      </c>
      <c r="AU28" s="41">
        <v>18</v>
      </c>
      <c r="AV28" s="41">
        <v>15</v>
      </c>
      <c r="AW28" s="41">
        <v>14</v>
      </c>
      <c r="AX28" s="41">
        <v>16</v>
      </c>
      <c r="AY28" s="41">
        <v>13</v>
      </c>
      <c r="AZ28" s="41">
        <v>13</v>
      </c>
      <c r="BA28" s="41">
        <v>25</v>
      </c>
      <c r="BB28" s="41">
        <v>10</v>
      </c>
      <c r="BC28" s="41">
        <v>26</v>
      </c>
    </row>
    <row r="29" spans="1:55" x14ac:dyDescent="0.2">
      <c r="A29" s="41">
        <v>58</v>
      </c>
      <c r="B29" s="41">
        <v>12</v>
      </c>
      <c r="C29" s="41">
        <v>13</v>
      </c>
      <c r="D29" s="41">
        <v>16</v>
      </c>
      <c r="E29" s="41">
        <v>13</v>
      </c>
      <c r="F29" s="41">
        <v>14</v>
      </c>
      <c r="G29" s="41">
        <v>19</v>
      </c>
      <c r="H29" s="41">
        <v>21</v>
      </c>
      <c r="I29" s="41">
        <v>22</v>
      </c>
      <c r="J29" s="41">
        <v>11</v>
      </c>
      <c r="K29" s="41">
        <v>27</v>
      </c>
      <c r="L29" s="41">
        <v>16</v>
      </c>
      <c r="M29" s="41">
        <v>27</v>
      </c>
      <c r="N29" s="41">
        <v>17</v>
      </c>
      <c r="O29" s="41">
        <v>15</v>
      </c>
      <c r="P29" s="41">
        <v>11</v>
      </c>
      <c r="Q29" s="41">
        <v>27</v>
      </c>
      <c r="R29" s="41">
        <v>26</v>
      </c>
      <c r="S29" s="41">
        <v>19</v>
      </c>
      <c r="T29" s="41">
        <v>23</v>
      </c>
      <c r="U29" s="41">
        <v>22</v>
      </c>
      <c r="V29" s="41">
        <v>17</v>
      </c>
      <c r="W29" s="41">
        <v>19</v>
      </c>
      <c r="X29" s="41">
        <v>19</v>
      </c>
      <c r="Y29" s="41">
        <v>23</v>
      </c>
      <c r="Z29" s="41"/>
      <c r="AA29" s="41"/>
      <c r="AB29" s="41"/>
      <c r="AC29" s="41">
        <v>22</v>
      </c>
      <c r="AD29" s="41">
        <v>20</v>
      </c>
      <c r="AE29" s="41">
        <v>18</v>
      </c>
      <c r="AF29" s="41">
        <v>22</v>
      </c>
      <c r="AG29" s="41">
        <v>22</v>
      </c>
      <c r="AH29" s="41">
        <v>25</v>
      </c>
      <c r="AI29" s="41">
        <v>19</v>
      </c>
      <c r="AJ29" s="41">
        <v>18</v>
      </c>
      <c r="AK29" s="41">
        <v>23</v>
      </c>
      <c r="AL29" s="41">
        <v>15</v>
      </c>
      <c r="AM29" s="41">
        <v>19</v>
      </c>
      <c r="AN29" s="41">
        <v>14</v>
      </c>
      <c r="AO29" s="41">
        <v>24</v>
      </c>
      <c r="AP29" s="41">
        <v>16</v>
      </c>
      <c r="AQ29" s="41">
        <v>19</v>
      </c>
      <c r="AR29" s="41">
        <v>13</v>
      </c>
      <c r="AS29" s="41">
        <v>24</v>
      </c>
      <c r="AT29" s="41">
        <v>14</v>
      </c>
      <c r="AU29" s="41">
        <v>18</v>
      </c>
      <c r="AV29" s="41">
        <v>12</v>
      </c>
      <c r="AW29" s="41">
        <v>14</v>
      </c>
      <c r="AX29" s="41">
        <v>13</v>
      </c>
      <c r="AY29" s="41">
        <v>12</v>
      </c>
      <c r="AZ29" s="41">
        <v>11</v>
      </c>
      <c r="BA29" s="41">
        <v>26</v>
      </c>
      <c r="BB29" s="41">
        <v>10</v>
      </c>
      <c r="BC29" s="41">
        <v>23</v>
      </c>
    </row>
    <row r="30" spans="1:55" x14ac:dyDescent="0.2">
      <c r="A30" s="41">
        <v>60</v>
      </c>
      <c r="B30" s="41">
        <v>14</v>
      </c>
      <c r="C30" s="41">
        <v>13</v>
      </c>
      <c r="D30" s="41">
        <v>13</v>
      </c>
      <c r="E30" s="41">
        <v>16</v>
      </c>
      <c r="F30" s="41">
        <v>15</v>
      </c>
      <c r="G30" s="41">
        <v>18</v>
      </c>
      <c r="H30" s="41">
        <v>23</v>
      </c>
      <c r="I30" s="41">
        <v>21</v>
      </c>
      <c r="J30" s="41">
        <v>16</v>
      </c>
      <c r="K30" s="41">
        <v>24</v>
      </c>
      <c r="L30" s="41">
        <v>13</v>
      </c>
      <c r="M30" s="41">
        <v>24</v>
      </c>
      <c r="N30" s="41">
        <v>19</v>
      </c>
      <c r="O30" s="41">
        <v>16</v>
      </c>
      <c r="P30" s="41">
        <v>10</v>
      </c>
      <c r="Q30" s="41">
        <v>28</v>
      </c>
      <c r="R30" s="41">
        <v>25</v>
      </c>
      <c r="S30" s="41">
        <v>18</v>
      </c>
      <c r="T30" s="41">
        <v>25</v>
      </c>
      <c r="U30" s="41">
        <v>21</v>
      </c>
      <c r="V30" s="41">
        <v>17</v>
      </c>
      <c r="W30" s="41">
        <v>20</v>
      </c>
      <c r="X30" s="41">
        <v>17</v>
      </c>
      <c r="Y30" s="41">
        <v>20</v>
      </c>
      <c r="Z30" s="41"/>
      <c r="AA30" s="41"/>
      <c r="AB30" s="41"/>
      <c r="AC30" s="41">
        <v>23</v>
      </c>
      <c r="AD30" s="41">
        <v>17</v>
      </c>
      <c r="AE30" s="41">
        <v>17</v>
      </c>
      <c r="AF30" s="41">
        <v>23</v>
      </c>
      <c r="AG30" s="41">
        <v>22</v>
      </c>
      <c r="AH30" s="41">
        <v>19</v>
      </c>
      <c r="AI30" s="41">
        <v>21</v>
      </c>
      <c r="AJ30" s="41">
        <v>19</v>
      </c>
      <c r="AK30" s="41">
        <v>23</v>
      </c>
      <c r="AL30" s="41">
        <v>16</v>
      </c>
      <c r="AM30" s="41">
        <v>19</v>
      </c>
      <c r="AN30" s="41">
        <v>16</v>
      </c>
      <c r="AO30" s="41">
        <v>24</v>
      </c>
      <c r="AP30" s="41">
        <v>15</v>
      </c>
      <c r="AQ30" s="41">
        <v>18</v>
      </c>
      <c r="AR30" s="41">
        <v>13</v>
      </c>
      <c r="AS30" s="41">
        <v>32</v>
      </c>
      <c r="AT30" s="41">
        <v>14</v>
      </c>
      <c r="AU30" s="41">
        <v>21</v>
      </c>
      <c r="AV30" s="41">
        <v>16</v>
      </c>
      <c r="AW30" s="41">
        <v>15</v>
      </c>
      <c r="AX30" s="41">
        <v>15</v>
      </c>
      <c r="AY30" s="41">
        <v>16</v>
      </c>
      <c r="AZ30" s="41">
        <v>8</v>
      </c>
      <c r="BA30" s="41">
        <v>24</v>
      </c>
      <c r="BB30" s="41">
        <v>11</v>
      </c>
      <c r="BC30" s="41">
        <v>26</v>
      </c>
    </row>
    <row r="31" spans="1:55" x14ac:dyDescent="0.2">
      <c r="A31" s="41">
        <v>62</v>
      </c>
      <c r="B31" s="41">
        <v>17</v>
      </c>
      <c r="C31" s="41">
        <v>16</v>
      </c>
      <c r="D31" s="41">
        <v>15</v>
      </c>
      <c r="E31" s="41">
        <v>15</v>
      </c>
      <c r="F31" s="41">
        <v>20</v>
      </c>
      <c r="G31" s="41">
        <v>21</v>
      </c>
      <c r="H31" s="41">
        <v>20</v>
      </c>
      <c r="I31" s="41">
        <v>20</v>
      </c>
      <c r="J31" s="41">
        <v>17</v>
      </c>
      <c r="K31" s="41">
        <v>22</v>
      </c>
      <c r="L31" s="41">
        <v>15</v>
      </c>
      <c r="M31" s="41">
        <v>23</v>
      </c>
      <c r="N31" s="41">
        <v>20</v>
      </c>
      <c r="O31" s="41">
        <v>13</v>
      </c>
      <c r="P31" s="41">
        <v>12</v>
      </c>
      <c r="Q31" s="41">
        <v>23</v>
      </c>
      <c r="R31" s="41">
        <v>20</v>
      </c>
      <c r="S31" s="41">
        <v>19</v>
      </c>
      <c r="T31" s="41">
        <v>22</v>
      </c>
      <c r="U31" s="41">
        <v>21</v>
      </c>
      <c r="V31" s="41">
        <v>19</v>
      </c>
      <c r="W31" s="41">
        <v>16</v>
      </c>
      <c r="X31" s="41">
        <v>14</v>
      </c>
      <c r="Y31" s="41">
        <v>30</v>
      </c>
      <c r="Z31" s="41"/>
      <c r="AA31" s="41"/>
      <c r="AB31" s="41"/>
      <c r="AC31" s="41">
        <v>22</v>
      </c>
      <c r="AD31" s="41">
        <v>19</v>
      </c>
      <c r="AE31" s="41">
        <v>24</v>
      </c>
      <c r="AF31" s="41">
        <v>26</v>
      </c>
      <c r="AG31" s="41">
        <v>22</v>
      </c>
      <c r="AH31" s="41">
        <v>17</v>
      </c>
      <c r="AI31" s="41">
        <v>22</v>
      </c>
      <c r="AJ31" s="41">
        <v>19</v>
      </c>
      <c r="AK31" s="41">
        <v>22</v>
      </c>
      <c r="AL31" s="41">
        <v>12</v>
      </c>
      <c r="AM31" s="41">
        <v>15</v>
      </c>
      <c r="AN31" s="41">
        <v>13</v>
      </c>
      <c r="AO31" s="41">
        <v>21</v>
      </c>
      <c r="AP31" s="41">
        <v>13</v>
      </c>
      <c r="AQ31" s="41">
        <v>21</v>
      </c>
      <c r="AR31" s="41">
        <v>17</v>
      </c>
      <c r="AS31" s="41">
        <v>26</v>
      </c>
      <c r="AT31" s="41">
        <v>13</v>
      </c>
      <c r="AU31" s="41">
        <v>20</v>
      </c>
      <c r="AV31" s="41">
        <v>16</v>
      </c>
      <c r="AW31" s="41">
        <v>17</v>
      </c>
      <c r="AX31" s="41">
        <v>15</v>
      </c>
      <c r="AY31" s="41">
        <v>13</v>
      </c>
      <c r="AZ31" s="41">
        <v>15</v>
      </c>
      <c r="BA31" s="41">
        <v>25</v>
      </c>
      <c r="BB31" s="41">
        <v>9</v>
      </c>
      <c r="BC31" s="41">
        <v>31</v>
      </c>
    </row>
    <row r="32" spans="1:55" x14ac:dyDescent="0.2">
      <c r="A32" s="41">
        <v>64</v>
      </c>
      <c r="B32" s="41">
        <v>14</v>
      </c>
      <c r="C32" s="41">
        <v>14</v>
      </c>
      <c r="D32" s="41">
        <v>13</v>
      </c>
      <c r="E32" s="41">
        <v>16</v>
      </c>
      <c r="F32" s="41">
        <v>20</v>
      </c>
      <c r="G32" s="41">
        <v>17</v>
      </c>
      <c r="H32" s="41">
        <v>22</v>
      </c>
      <c r="I32" s="41">
        <v>25</v>
      </c>
      <c r="J32" s="41">
        <v>20</v>
      </c>
      <c r="K32" s="41">
        <v>25</v>
      </c>
      <c r="L32" s="41">
        <v>15</v>
      </c>
      <c r="M32" s="41">
        <v>18</v>
      </c>
      <c r="N32" s="41">
        <v>21</v>
      </c>
      <c r="O32" s="41">
        <v>16</v>
      </c>
      <c r="P32" s="41">
        <v>17</v>
      </c>
      <c r="Q32" s="41">
        <v>26</v>
      </c>
      <c r="R32" s="41">
        <v>24</v>
      </c>
      <c r="S32" s="41">
        <v>17</v>
      </c>
      <c r="T32" s="41">
        <v>18</v>
      </c>
      <c r="U32" s="41">
        <v>19</v>
      </c>
      <c r="V32" s="41">
        <v>24</v>
      </c>
      <c r="W32" s="41">
        <v>16</v>
      </c>
      <c r="X32" s="41">
        <v>14</v>
      </c>
      <c r="Y32" s="41">
        <v>22</v>
      </c>
      <c r="Z32" s="41"/>
      <c r="AA32" s="41"/>
      <c r="AB32" s="41"/>
      <c r="AC32" s="41">
        <v>17</v>
      </c>
      <c r="AD32" s="41">
        <v>19</v>
      </c>
      <c r="AE32" s="41">
        <v>20</v>
      </c>
      <c r="AF32" s="41">
        <v>27</v>
      </c>
      <c r="AG32" s="41">
        <v>22</v>
      </c>
      <c r="AH32" s="41">
        <v>19</v>
      </c>
      <c r="AI32" s="41">
        <v>18</v>
      </c>
      <c r="AJ32" s="41">
        <v>21</v>
      </c>
      <c r="AK32" s="41">
        <v>22</v>
      </c>
      <c r="AL32" s="41">
        <v>18</v>
      </c>
      <c r="AM32" s="41">
        <v>14</v>
      </c>
      <c r="AN32" s="41">
        <v>15</v>
      </c>
      <c r="AO32" s="41">
        <v>20</v>
      </c>
      <c r="AP32" s="41">
        <v>19</v>
      </c>
      <c r="AQ32" s="41">
        <v>16</v>
      </c>
      <c r="AR32" s="41">
        <v>16</v>
      </c>
      <c r="AS32" s="41">
        <v>33</v>
      </c>
      <c r="AT32" s="41">
        <v>16</v>
      </c>
      <c r="AU32" s="41">
        <v>19</v>
      </c>
      <c r="AV32" s="41">
        <v>17</v>
      </c>
      <c r="AW32" s="41">
        <v>18</v>
      </c>
      <c r="AX32" s="41">
        <v>18</v>
      </c>
      <c r="AY32" s="41">
        <v>19</v>
      </c>
      <c r="AZ32" s="41">
        <v>14</v>
      </c>
      <c r="BA32" s="41">
        <v>22</v>
      </c>
      <c r="BB32" s="41">
        <v>12</v>
      </c>
      <c r="BC32" s="41">
        <v>28</v>
      </c>
    </row>
    <row r="33" spans="1:55" x14ac:dyDescent="0.2">
      <c r="A33" s="41">
        <v>66</v>
      </c>
      <c r="B33" s="41">
        <v>18</v>
      </c>
      <c r="C33" s="41">
        <v>17</v>
      </c>
      <c r="D33" s="41">
        <v>14</v>
      </c>
      <c r="E33" s="41">
        <v>15</v>
      </c>
      <c r="F33" s="41">
        <v>20</v>
      </c>
      <c r="G33" s="41">
        <v>18</v>
      </c>
      <c r="H33" s="41">
        <v>16</v>
      </c>
      <c r="I33" s="41">
        <v>29</v>
      </c>
      <c r="J33" s="41">
        <v>17</v>
      </c>
      <c r="K33" s="41">
        <v>21</v>
      </c>
      <c r="L33" s="41">
        <v>23</v>
      </c>
      <c r="M33" s="41">
        <v>19</v>
      </c>
      <c r="N33" s="41">
        <v>24</v>
      </c>
      <c r="O33" s="41">
        <v>18</v>
      </c>
      <c r="P33" s="41">
        <v>13</v>
      </c>
      <c r="Q33" s="41">
        <v>26</v>
      </c>
      <c r="R33" s="41">
        <v>20</v>
      </c>
      <c r="S33" s="41">
        <v>18</v>
      </c>
      <c r="T33" s="41">
        <v>15</v>
      </c>
      <c r="U33" s="41">
        <v>19</v>
      </c>
      <c r="V33" s="41">
        <v>24</v>
      </c>
      <c r="W33" s="41">
        <v>19</v>
      </c>
      <c r="X33" s="41">
        <v>14</v>
      </c>
      <c r="Y33" s="41">
        <v>36</v>
      </c>
      <c r="Z33" s="41"/>
      <c r="AA33" s="41"/>
      <c r="AB33" s="41"/>
      <c r="AC33" s="41">
        <v>18</v>
      </c>
      <c r="AD33" s="41">
        <v>15</v>
      </c>
      <c r="AE33" s="41">
        <v>22</v>
      </c>
      <c r="AF33" s="41">
        <v>24</v>
      </c>
      <c r="AG33" s="41">
        <v>19</v>
      </c>
      <c r="AH33" s="41">
        <v>15</v>
      </c>
      <c r="AI33" s="41">
        <v>20</v>
      </c>
      <c r="AJ33" s="41">
        <v>21</v>
      </c>
      <c r="AK33" s="41">
        <v>21</v>
      </c>
      <c r="AL33" s="41">
        <v>15</v>
      </c>
      <c r="AM33" s="41">
        <v>16</v>
      </c>
      <c r="AN33" s="41">
        <v>13</v>
      </c>
      <c r="AO33" s="41">
        <v>23</v>
      </c>
      <c r="AP33" s="41">
        <v>21</v>
      </c>
      <c r="AQ33" s="41">
        <v>15</v>
      </c>
      <c r="AR33" s="41">
        <v>19</v>
      </c>
      <c r="AS33" s="41">
        <v>29</v>
      </c>
      <c r="AT33" s="41">
        <v>20</v>
      </c>
      <c r="AU33" s="41">
        <v>20</v>
      </c>
      <c r="AV33" s="41">
        <v>14</v>
      </c>
      <c r="AW33" s="41">
        <v>16</v>
      </c>
      <c r="AX33" s="41">
        <v>19</v>
      </c>
      <c r="AY33" s="41">
        <v>16</v>
      </c>
      <c r="AZ33" s="41">
        <v>18</v>
      </c>
      <c r="BA33" s="41">
        <v>21</v>
      </c>
      <c r="BB33" s="41">
        <v>16</v>
      </c>
      <c r="BC33" s="41">
        <v>25</v>
      </c>
    </row>
    <row r="34" spans="1:55" x14ac:dyDescent="0.2">
      <c r="A34" s="41">
        <v>68</v>
      </c>
      <c r="B34" s="41">
        <v>16</v>
      </c>
      <c r="C34" s="41">
        <v>13</v>
      </c>
      <c r="D34" s="41">
        <v>17</v>
      </c>
      <c r="E34" s="41">
        <v>15</v>
      </c>
      <c r="F34" s="41">
        <v>21</v>
      </c>
      <c r="G34" s="41">
        <v>15</v>
      </c>
      <c r="H34" s="41">
        <v>21</v>
      </c>
      <c r="I34" s="41">
        <v>31</v>
      </c>
      <c r="J34" s="41">
        <v>21</v>
      </c>
      <c r="K34" s="41">
        <v>14</v>
      </c>
      <c r="L34" s="41">
        <v>18</v>
      </c>
      <c r="M34" s="41">
        <v>17</v>
      </c>
      <c r="N34" s="41">
        <v>23</v>
      </c>
      <c r="O34" s="41">
        <v>16</v>
      </c>
      <c r="P34" s="41">
        <v>11</v>
      </c>
      <c r="Q34" s="41">
        <v>23</v>
      </c>
      <c r="R34" s="41">
        <v>15</v>
      </c>
      <c r="S34" s="41">
        <v>21</v>
      </c>
      <c r="T34" s="41">
        <v>22</v>
      </c>
      <c r="U34" s="41">
        <v>19</v>
      </c>
      <c r="V34" s="41">
        <v>28</v>
      </c>
      <c r="W34" s="41">
        <v>18</v>
      </c>
      <c r="X34" s="41">
        <v>14</v>
      </c>
      <c r="Y34" s="41">
        <v>37</v>
      </c>
      <c r="Z34" s="41"/>
      <c r="AA34" s="41"/>
      <c r="AB34" s="41"/>
      <c r="AC34" s="41">
        <v>19</v>
      </c>
      <c r="AD34" s="41">
        <v>20</v>
      </c>
      <c r="AE34" s="41">
        <v>22</v>
      </c>
      <c r="AF34" s="41">
        <v>22</v>
      </c>
      <c r="AG34" s="41">
        <v>21</v>
      </c>
      <c r="AH34" s="41">
        <v>14</v>
      </c>
      <c r="AI34" s="41">
        <v>21</v>
      </c>
      <c r="AJ34" s="41">
        <v>21</v>
      </c>
      <c r="AK34" s="41">
        <v>21</v>
      </c>
      <c r="AL34" s="41">
        <v>17</v>
      </c>
      <c r="AM34" s="41">
        <v>15</v>
      </c>
      <c r="AN34" s="41">
        <v>15</v>
      </c>
      <c r="AO34" s="41">
        <v>24</v>
      </c>
      <c r="AP34" s="41">
        <v>17</v>
      </c>
      <c r="AQ34" s="41">
        <v>14</v>
      </c>
      <c r="AR34" s="41">
        <v>20</v>
      </c>
      <c r="AS34" s="41">
        <v>31</v>
      </c>
      <c r="AT34" s="41">
        <v>16</v>
      </c>
      <c r="AU34" s="41">
        <v>22</v>
      </c>
      <c r="AV34" s="41">
        <v>17</v>
      </c>
      <c r="AW34" s="41">
        <v>20</v>
      </c>
      <c r="AX34" s="41">
        <v>17</v>
      </c>
      <c r="AY34" s="41">
        <v>15</v>
      </c>
      <c r="AZ34" s="41">
        <v>14</v>
      </c>
      <c r="BA34" s="41">
        <v>25</v>
      </c>
      <c r="BB34" s="41">
        <v>20</v>
      </c>
      <c r="BC34" s="41">
        <v>20</v>
      </c>
    </row>
    <row r="35" spans="1:55" x14ac:dyDescent="0.2">
      <c r="A35" s="41">
        <v>70</v>
      </c>
      <c r="B35" s="41">
        <v>12</v>
      </c>
      <c r="C35" s="41">
        <v>13</v>
      </c>
      <c r="D35" s="41">
        <v>19</v>
      </c>
      <c r="E35" s="41">
        <v>15</v>
      </c>
      <c r="F35" s="41">
        <v>24</v>
      </c>
      <c r="G35" s="41">
        <v>18</v>
      </c>
      <c r="H35" s="41">
        <v>24</v>
      </c>
      <c r="I35" s="41">
        <v>31</v>
      </c>
      <c r="J35" s="41">
        <v>19</v>
      </c>
      <c r="K35" s="41">
        <v>19</v>
      </c>
      <c r="L35" s="41">
        <v>17</v>
      </c>
      <c r="M35" s="41">
        <v>13</v>
      </c>
      <c r="N35" s="41">
        <v>20</v>
      </c>
      <c r="O35" s="41">
        <v>18</v>
      </c>
      <c r="P35" s="41">
        <v>9</v>
      </c>
      <c r="Q35" s="41">
        <v>22</v>
      </c>
      <c r="R35" s="41">
        <v>15</v>
      </c>
      <c r="S35" s="41">
        <v>21</v>
      </c>
      <c r="T35" s="41">
        <v>29</v>
      </c>
      <c r="U35" s="41">
        <v>18</v>
      </c>
      <c r="V35" s="41">
        <v>24</v>
      </c>
      <c r="W35" s="41">
        <v>22</v>
      </c>
      <c r="X35" s="41">
        <v>15</v>
      </c>
      <c r="Y35" s="41">
        <v>34</v>
      </c>
      <c r="Z35" s="41"/>
      <c r="AA35" s="41"/>
      <c r="AB35" s="41"/>
      <c r="AC35" s="41">
        <v>16</v>
      </c>
      <c r="AD35" s="41">
        <v>20</v>
      </c>
      <c r="AE35" s="41">
        <v>23</v>
      </c>
      <c r="AF35" s="41">
        <v>29</v>
      </c>
      <c r="AG35" s="41">
        <v>16</v>
      </c>
      <c r="AH35" s="41">
        <v>16</v>
      </c>
      <c r="AI35" s="41">
        <v>24</v>
      </c>
      <c r="AJ35" s="41">
        <v>18</v>
      </c>
      <c r="AK35" s="41">
        <v>17</v>
      </c>
      <c r="AL35" s="41">
        <v>18</v>
      </c>
      <c r="AM35" s="41">
        <v>13</v>
      </c>
      <c r="AN35" s="41">
        <v>14</v>
      </c>
      <c r="AO35" s="41">
        <v>20</v>
      </c>
      <c r="AP35" s="41">
        <v>19</v>
      </c>
      <c r="AQ35" s="41">
        <v>19</v>
      </c>
      <c r="AR35" s="41">
        <v>16</v>
      </c>
      <c r="AS35" s="41">
        <v>38</v>
      </c>
      <c r="AT35" s="41">
        <v>17</v>
      </c>
      <c r="AU35" s="41">
        <v>22</v>
      </c>
      <c r="AV35" s="41">
        <v>15</v>
      </c>
      <c r="AW35" s="41">
        <v>23</v>
      </c>
      <c r="AX35" s="41">
        <v>18</v>
      </c>
      <c r="AY35" s="41">
        <v>14</v>
      </c>
      <c r="AZ35" s="41">
        <v>14</v>
      </c>
      <c r="BA35" s="41">
        <v>25</v>
      </c>
      <c r="BB35" s="41">
        <v>22</v>
      </c>
      <c r="BC35" s="41">
        <v>19</v>
      </c>
    </row>
    <row r="36" spans="1:55" x14ac:dyDescent="0.2">
      <c r="A36" s="41">
        <v>72</v>
      </c>
      <c r="B36" s="41">
        <v>12</v>
      </c>
      <c r="C36" s="41">
        <v>11</v>
      </c>
      <c r="D36" s="41">
        <v>20</v>
      </c>
      <c r="E36" s="41">
        <v>16</v>
      </c>
      <c r="F36" s="41">
        <v>18</v>
      </c>
      <c r="G36" s="41">
        <v>18</v>
      </c>
      <c r="H36" s="41">
        <v>21</v>
      </c>
      <c r="I36" s="41">
        <v>28</v>
      </c>
      <c r="J36" s="41">
        <v>18</v>
      </c>
      <c r="K36" s="41">
        <v>19</v>
      </c>
      <c r="L36" s="41">
        <v>18</v>
      </c>
      <c r="M36" s="41">
        <v>12</v>
      </c>
      <c r="N36" s="41">
        <v>18</v>
      </c>
      <c r="O36" s="41">
        <v>19</v>
      </c>
      <c r="P36" s="41">
        <v>13</v>
      </c>
      <c r="Q36" s="41">
        <v>26</v>
      </c>
      <c r="R36" s="41">
        <v>17</v>
      </c>
      <c r="S36" s="41">
        <v>17</v>
      </c>
      <c r="T36" s="41">
        <v>28</v>
      </c>
      <c r="U36" s="41">
        <v>19</v>
      </c>
      <c r="V36" s="41">
        <v>24</v>
      </c>
      <c r="W36" s="41">
        <v>26</v>
      </c>
      <c r="X36" s="41">
        <v>17</v>
      </c>
      <c r="Y36" s="41">
        <v>40</v>
      </c>
      <c r="Z36" s="41"/>
      <c r="AA36" s="41"/>
      <c r="AB36" s="41"/>
      <c r="AC36" s="41">
        <v>16</v>
      </c>
      <c r="AD36" s="41">
        <v>24</v>
      </c>
      <c r="AE36" s="41">
        <v>22</v>
      </c>
      <c r="AF36" s="41">
        <v>25</v>
      </c>
      <c r="AG36" s="41">
        <v>14</v>
      </c>
      <c r="AH36" s="41">
        <v>15</v>
      </c>
      <c r="AI36" s="41">
        <v>26</v>
      </c>
      <c r="AJ36" s="41">
        <v>20</v>
      </c>
      <c r="AK36" s="41">
        <v>19</v>
      </c>
      <c r="AL36" s="41">
        <v>20</v>
      </c>
      <c r="AM36" s="41">
        <v>12</v>
      </c>
      <c r="AN36" s="41">
        <v>16</v>
      </c>
      <c r="AO36" s="41">
        <v>25</v>
      </c>
      <c r="AP36" s="41">
        <v>20</v>
      </c>
      <c r="AQ36" s="41">
        <v>19</v>
      </c>
      <c r="AR36" s="41">
        <v>19</v>
      </c>
      <c r="AS36" s="41">
        <v>33</v>
      </c>
      <c r="AT36" s="41">
        <v>18</v>
      </c>
      <c r="AU36" s="41">
        <v>17</v>
      </c>
      <c r="AV36" s="41">
        <v>18</v>
      </c>
      <c r="AW36" s="41">
        <v>18</v>
      </c>
      <c r="AX36" s="41">
        <v>14</v>
      </c>
      <c r="AY36" s="41">
        <v>15</v>
      </c>
      <c r="AZ36" s="41">
        <v>15</v>
      </c>
      <c r="BA36" s="41">
        <v>23</v>
      </c>
      <c r="BB36" s="41">
        <v>25</v>
      </c>
      <c r="BC36" s="41">
        <v>17</v>
      </c>
    </row>
    <row r="37" spans="1:55" x14ac:dyDescent="0.2">
      <c r="A37" s="41">
        <v>74</v>
      </c>
      <c r="B37" s="41">
        <v>14</v>
      </c>
      <c r="C37" s="41">
        <v>12</v>
      </c>
      <c r="D37" s="41">
        <v>17</v>
      </c>
      <c r="E37" s="41">
        <v>12</v>
      </c>
      <c r="F37" s="41">
        <v>22</v>
      </c>
      <c r="G37" s="41">
        <v>18</v>
      </c>
      <c r="H37" s="41">
        <v>24</v>
      </c>
      <c r="I37" s="41">
        <v>27</v>
      </c>
      <c r="J37" s="41">
        <v>22</v>
      </c>
      <c r="K37" s="41">
        <v>22</v>
      </c>
      <c r="L37" s="41">
        <v>11</v>
      </c>
      <c r="M37" s="41">
        <v>14</v>
      </c>
      <c r="N37" s="41">
        <v>22</v>
      </c>
      <c r="O37" s="41">
        <v>20</v>
      </c>
      <c r="P37" s="41">
        <v>17</v>
      </c>
      <c r="Q37" s="41">
        <v>27</v>
      </c>
      <c r="R37" s="41">
        <v>14</v>
      </c>
      <c r="S37" s="41">
        <v>21</v>
      </c>
      <c r="T37" s="41">
        <v>24</v>
      </c>
      <c r="U37" s="41">
        <v>15</v>
      </c>
      <c r="V37" s="41">
        <v>24</v>
      </c>
      <c r="W37" s="41">
        <v>23</v>
      </c>
      <c r="X37" s="41">
        <v>23</v>
      </c>
      <c r="Y37" s="41">
        <v>38</v>
      </c>
      <c r="Z37" s="41"/>
      <c r="AA37" s="41"/>
      <c r="AB37" s="41"/>
      <c r="AC37" s="41">
        <v>14</v>
      </c>
      <c r="AD37" s="41">
        <v>25</v>
      </c>
      <c r="AE37" s="41">
        <v>23</v>
      </c>
      <c r="AF37" s="41">
        <v>23</v>
      </c>
      <c r="AG37" s="41">
        <v>13</v>
      </c>
      <c r="AH37" s="41">
        <v>16</v>
      </c>
      <c r="AI37" s="41">
        <v>18</v>
      </c>
      <c r="AJ37" s="41">
        <v>23</v>
      </c>
      <c r="AK37" s="41">
        <v>17</v>
      </c>
      <c r="AL37" s="41">
        <v>19</v>
      </c>
      <c r="AM37" s="41">
        <v>11</v>
      </c>
      <c r="AN37" s="41">
        <v>13</v>
      </c>
      <c r="AO37" s="41">
        <v>24</v>
      </c>
      <c r="AP37" s="41">
        <v>18</v>
      </c>
      <c r="AQ37" s="41">
        <v>13</v>
      </c>
      <c r="AR37" s="41">
        <v>17</v>
      </c>
      <c r="AS37" s="41">
        <v>31</v>
      </c>
      <c r="AT37" s="41">
        <v>19</v>
      </c>
      <c r="AU37" s="41">
        <v>16</v>
      </c>
      <c r="AV37" s="41">
        <v>13</v>
      </c>
      <c r="AW37" s="41">
        <v>20</v>
      </c>
      <c r="AX37" s="41">
        <v>19</v>
      </c>
      <c r="AY37" s="41">
        <v>16</v>
      </c>
      <c r="AZ37" s="41">
        <v>18</v>
      </c>
      <c r="BA37" s="41">
        <v>26</v>
      </c>
      <c r="BB37" s="41">
        <v>24</v>
      </c>
      <c r="BC37" s="41">
        <v>13</v>
      </c>
    </row>
    <row r="38" spans="1:55" x14ac:dyDescent="0.2">
      <c r="A38" s="41">
        <v>76</v>
      </c>
      <c r="B38" s="41">
        <v>14</v>
      </c>
      <c r="C38" s="41">
        <v>10</v>
      </c>
      <c r="D38" s="41">
        <v>15</v>
      </c>
      <c r="E38" s="41">
        <v>12</v>
      </c>
      <c r="F38" s="41">
        <v>23</v>
      </c>
      <c r="G38" s="41">
        <v>19</v>
      </c>
      <c r="H38" s="41">
        <v>25</v>
      </c>
      <c r="I38" s="41">
        <v>31</v>
      </c>
      <c r="J38" s="41">
        <v>19</v>
      </c>
      <c r="K38" s="41">
        <v>23</v>
      </c>
      <c r="L38" s="41">
        <v>12</v>
      </c>
      <c r="M38" s="41">
        <v>14</v>
      </c>
      <c r="N38" s="41">
        <v>22</v>
      </c>
      <c r="O38" s="41">
        <v>18</v>
      </c>
      <c r="P38" s="41">
        <v>16</v>
      </c>
      <c r="Q38" s="41">
        <v>27</v>
      </c>
      <c r="R38" s="41">
        <v>16</v>
      </c>
      <c r="S38" s="41">
        <v>23</v>
      </c>
      <c r="T38" s="41">
        <v>24</v>
      </c>
      <c r="U38" s="41">
        <v>13</v>
      </c>
      <c r="V38" s="41">
        <v>26</v>
      </c>
      <c r="W38" s="41">
        <v>22</v>
      </c>
      <c r="X38" s="41">
        <v>19</v>
      </c>
      <c r="Y38" s="41">
        <v>44</v>
      </c>
      <c r="Z38" s="41"/>
      <c r="AA38" s="41"/>
      <c r="AB38" s="41"/>
      <c r="AC38" s="41">
        <v>14</v>
      </c>
      <c r="AD38" s="41">
        <v>24</v>
      </c>
      <c r="AE38" s="41">
        <v>23</v>
      </c>
      <c r="AF38" s="41">
        <v>24</v>
      </c>
      <c r="AG38" s="41">
        <v>11</v>
      </c>
      <c r="AH38" s="41">
        <v>17</v>
      </c>
      <c r="AI38" s="41">
        <v>20</v>
      </c>
      <c r="AJ38" s="41">
        <v>24</v>
      </c>
      <c r="AK38" s="41">
        <v>20</v>
      </c>
      <c r="AL38" s="41">
        <v>14</v>
      </c>
      <c r="AM38" s="41">
        <v>12</v>
      </c>
      <c r="AN38" s="41">
        <v>15</v>
      </c>
      <c r="AO38" s="41">
        <v>23</v>
      </c>
      <c r="AP38" s="41">
        <v>19</v>
      </c>
      <c r="AQ38" s="41">
        <v>16</v>
      </c>
      <c r="AR38" s="41">
        <v>22</v>
      </c>
      <c r="AS38" s="41">
        <v>38</v>
      </c>
      <c r="AT38" s="41">
        <v>19</v>
      </c>
      <c r="AU38" s="41">
        <v>18</v>
      </c>
      <c r="AV38" s="41">
        <v>15</v>
      </c>
      <c r="AW38" s="41">
        <v>21</v>
      </c>
      <c r="AX38" s="41">
        <v>17</v>
      </c>
      <c r="AY38" s="41">
        <v>16</v>
      </c>
      <c r="AZ38" s="41">
        <v>15</v>
      </c>
      <c r="BA38" s="41">
        <v>28</v>
      </c>
      <c r="BB38" s="41">
        <v>24</v>
      </c>
      <c r="BC38" s="41">
        <v>11</v>
      </c>
    </row>
    <row r="39" spans="1:55" x14ac:dyDescent="0.2">
      <c r="A39" s="41">
        <v>78</v>
      </c>
      <c r="B39" s="41">
        <v>12</v>
      </c>
      <c r="C39" s="41">
        <v>12</v>
      </c>
      <c r="D39" s="41">
        <v>17</v>
      </c>
      <c r="E39" s="41">
        <v>11</v>
      </c>
      <c r="F39" s="41">
        <v>21</v>
      </c>
      <c r="G39" s="41">
        <v>20</v>
      </c>
      <c r="H39" s="41">
        <v>28</v>
      </c>
      <c r="I39" s="41">
        <v>25</v>
      </c>
      <c r="J39" s="41">
        <v>22</v>
      </c>
      <c r="K39" s="41">
        <v>21</v>
      </c>
      <c r="L39" s="41">
        <v>15</v>
      </c>
      <c r="M39" s="41">
        <v>19</v>
      </c>
      <c r="N39" s="41">
        <v>24</v>
      </c>
      <c r="O39" s="41">
        <v>21</v>
      </c>
      <c r="P39" s="41">
        <v>15</v>
      </c>
      <c r="Q39" s="41">
        <v>24</v>
      </c>
      <c r="R39" s="41">
        <v>10</v>
      </c>
      <c r="S39" s="41">
        <v>21</v>
      </c>
      <c r="T39" s="41">
        <v>21</v>
      </c>
      <c r="U39" s="41">
        <v>15</v>
      </c>
      <c r="V39" s="41">
        <v>23</v>
      </c>
      <c r="W39" s="41">
        <v>27</v>
      </c>
      <c r="X39" s="41">
        <v>18</v>
      </c>
      <c r="Y39" s="41">
        <v>40</v>
      </c>
      <c r="Z39" s="41"/>
      <c r="AA39" s="41"/>
      <c r="AB39" s="41"/>
      <c r="AC39" s="41">
        <v>17</v>
      </c>
      <c r="AD39" s="41">
        <v>29</v>
      </c>
      <c r="AE39" s="41">
        <v>25</v>
      </c>
      <c r="AF39" s="41">
        <v>25</v>
      </c>
      <c r="AG39" s="41">
        <v>13</v>
      </c>
      <c r="AH39" s="41">
        <v>16</v>
      </c>
      <c r="AI39" s="41">
        <v>22</v>
      </c>
      <c r="AJ39" s="41">
        <v>25</v>
      </c>
      <c r="AK39" s="41">
        <v>23</v>
      </c>
      <c r="AL39" s="41">
        <v>17</v>
      </c>
      <c r="AM39" s="41">
        <v>10</v>
      </c>
      <c r="AN39" s="41">
        <v>12</v>
      </c>
      <c r="AO39" s="41">
        <v>21</v>
      </c>
      <c r="AP39" s="41">
        <v>22</v>
      </c>
      <c r="AQ39" s="41">
        <v>21</v>
      </c>
      <c r="AR39" s="41">
        <v>21</v>
      </c>
      <c r="AS39" s="41">
        <v>40</v>
      </c>
      <c r="AT39" s="41">
        <v>19</v>
      </c>
      <c r="AU39" s="41">
        <v>16</v>
      </c>
      <c r="AV39" s="41">
        <v>18</v>
      </c>
      <c r="AW39" s="41">
        <v>27</v>
      </c>
      <c r="AX39" s="41">
        <v>21</v>
      </c>
      <c r="AY39" s="41">
        <v>18</v>
      </c>
      <c r="AZ39" s="41">
        <v>19</v>
      </c>
      <c r="BA39" s="41">
        <v>31</v>
      </c>
      <c r="BB39" s="41">
        <v>21</v>
      </c>
      <c r="BC39" s="41">
        <v>8</v>
      </c>
    </row>
    <row r="40" spans="1:55" x14ac:dyDescent="0.2">
      <c r="A40" s="41">
        <v>80</v>
      </c>
      <c r="B40" s="41">
        <v>9</v>
      </c>
      <c r="C40" s="41">
        <v>17</v>
      </c>
      <c r="D40" s="41">
        <v>14</v>
      </c>
      <c r="E40" s="41">
        <v>14</v>
      </c>
      <c r="F40" s="41">
        <v>26</v>
      </c>
      <c r="G40" s="41">
        <v>22</v>
      </c>
      <c r="H40" s="41">
        <v>27</v>
      </c>
      <c r="I40" s="41">
        <v>25</v>
      </c>
      <c r="J40" s="41">
        <v>19</v>
      </c>
      <c r="K40" s="41">
        <v>16</v>
      </c>
      <c r="L40" s="41">
        <v>15</v>
      </c>
      <c r="M40" s="41">
        <v>19</v>
      </c>
      <c r="N40" s="41">
        <v>21</v>
      </c>
      <c r="O40" s="41">
        <v>18</v>
      </c>
      <c r="P40" s="41">
        <v>16</v>
      </c>
      <c r="Q40" s="41">
        <v>28</v>
      </c>
      <c r="R40" s="41">
        <v>14</v>
      </c>
      <c r="S40" s="41">
        <v>17</v>
      </c>
      <c r="T40" s="41">
        <v>17</v>
      </c>
      <c r="U40" s="41">
        <v>7</v>
      </c>
      <c r="V40" s="41">
        <v>21</v>
      </c>
      <c r="W40" s="41">
        <v>25</v>
      </c>
      <c r="X40" s="41">
        <v>17</v>
      </c>
      <c r="Y40" s="41">
        <v>37</v>
      </c>
      <c r="Z40" s="41"/>
      <c r="AA40" s="41"/>
      <c r="AB40" s="41"/>
      <c r="AC40" s="41">
        <v>21</v>
      </c>
      <c r="AD40" s="41">
        <v>25</v>
      </c>
      <c r="AE40" s="41">
        <v>25</v>
      </c>
      <c r="AF40" s="41">
        <v>22</v>
      </c>
      <c r="AG40" s="41">
        <v>15</v>
      </c>
      <c r="AH40" s="41">
        <v>12</v>
      </c>
      <c r="AI40" s="41">
        <v>22</v>
      </c>
      <c r="AJ40" s="41">
        <v>25</v>
      </c>
      <c r="AK40" s="41">
        <v>18</v>
      </c>
      <c r="AL40" s="41">
        <v>13</v>
      </c>
      <c r="AM40" s="41">
        <v>9</v>
      </c>
      <c r="AN40" s="41">
        <v>17</v>
      </c>
      <c r="AO40" s="41">
        <v>21</v>
      </c>
      <c r="AP40" s="41">
        <v>21</v>
      </c>
      <c r="AQ40" s="41">
        <v>20</v>
      </c>
      <c r="AR40" s="41">
        <v>15</v>
      </c>
      <c r="AS40" s="41">
        <v>28</v>
      </c>
      <c r="AT40" s="41">
        <v>18</v>
      </c>
      <c r="AU40" s="41">
        <v>15</v>
      </c>
      <c r="AV40" s="41">
        <v>19</v>
      </c>
      <c r="AW40" s="41">
        <v>23</v>
      </c>
      <c r="AX40" s="41">
        <v>18</v>
      </c>
      <c r="AY40" s="41">
        <v>23</v>
      </c>
      <c r="AZ40" s="41">
        <v>20</v>
      </c>
      <c r="BA40" s="41">
        <v>30</v>
      </c>
      <c r="BB40" s="41">
        <v>29</v>
      </c>
      <c r="BC40" s="41">
        <v>8</v>
      </c>
    </row>
    <row r="41" spans="1:55" x14ac:dyDescent="0.2">
      <c r="A41" s="41">
        <v>82</v>
      </c>
      <c r="B41" s="41">
        <v>11</v>
      </c>
      <c r="C41" s="41">
        <v>24</v>
      </c>
      <c r="D41" s="41">
        <v>17</v>
      </c>
      <c r="E41" s="41">
        <v>15</v>
      </c>
      <c r="F41" s="41">
        <v>32</v>
      </c>
      <c r="G41" s="41">
        <v>25</v>
      </c>
      <c r="H41" s="41">
        <v>33</v>
      </c>
      <c r="I41" s="41">
        <v>30</v>
      </c>
      <c r="J41" s="41">
        <v>17</v>
      </c>
      <c r="K41" s="41">
        <v>20</v>
      </c>
      <c r="L41" s="41">
        <v>14</v>
      </c>
      <c r="M41" s="41">
        <v>24</v>
      </c>
      <c r="N41" s="41">
        <v>17</v>
      </c>
      <c r="O41" s="41">
        <v>24</v>
      </c>
      <c r="P41" s="41">
        <v>17</v>
      </c>
      <c r="Q41" s="41">
        <v>24</v>
      </c>
      <c r="R41" s="41">
        <v>15</v>
      </c>
      <c r="S41" s="41">
        <v>22</v>
      </c>
      <c r="T41" s="41">
        <v>10</v>
      </c>
      <c r="U41" s="41">
        <v>5</v>
      </c>
      <c r="V41" s="41">
        <v>25</v>
      </c>
      <c r="W41" s="41">
        <v>27</v>
      </c>
      <c r="X41" s="41">
        <v>15</v>
      </c>
      <c r="Y41" s="41">
        <v>34</v>
      </c>
      <c r="Z41" s="41"/>
      <c r="AA41" s="41"/>
      <c r="AB41" s="41"/>
      <c r="AC41" s="41">
        <v>18</v>
      </c>
      <c r="AD41" s="41">
        <v>24</v>
      </c>
      <c r="AE41" s="41">
        <v>24</v>
      </c>
      <c r="AF41" s="41">
        <v>25</v>
      </c>
      <c r="AG41" s="41">
        <v>18</v>
      </c>
      <c r="AH41" s="41">
        <v>7</v>
      </c>
      <c r="AI41" s="41">
        <v>18</v>
      </c>
      <c r="AJ41" s="41">
        <v>26</v>
      </c>
      <c r="AK41" s="41">
        <v>21</v>
      </c>
      <c r="AL41" s="41">
        <v>15</v>
      </c>
      <c r="AM41" s="41">
        <v>10</v>
      </c>
      <c r="AN41" s="41">
        <v>15</v>
      </c>
      <c r="AO41" s="41">
        <v>20</v>
      </c>
      <c r="AP41" s="41">
        <v>25</v>
      </c>
      <c r="AQ41" s="41">
        <v>20</v>
      </c>
      <c r="AR41" s="41">
        <v>21</v>
      </c>
      <c r="AS41" s="41">
        <v>32</v>
      </c>
      <c r="AT41" s="41">
        <v>18</v>
      </c>
      <c r="AU41" s="41">
        <v>19</v>
      </c>
      <c r="AV41" s="41">
        <v>18</v>
      </c>
      <c r="AW41" s="41">
        <v>21</v>
      </c>
      <c r="AX41" s="41">
        <v>23</v>
      </c>
      <c r="AY41" s="41">
        <v>20</v>
      </c>
      <c r="AZ41" s="41">
        <v>21</v>
      </c>
      <c r="BA41" s="41">
        <v>25</v>
      </c>
      <c r="BB41" s="41">
        <v>28</v>
      </c>
      <c r="BC41" s="41">
        <v>5</v>
      </c>
    </row>
    <row r="42" spans="1:55" x14ac:dyDescent="0.2">
      <c r="A42" s="41">
        <v>84</v>
      </c>
      <c r="B42" s="41">
        <v>13</v>
      </c>
      <c r="C42" s="41">
        <v>21</v>
      </c>
      <c r="D42" s="41">
        <v>17</v>
      </c>
      <c r="E42" s="41">
        <v>23</v>
      </c>
      <c r="F42" s="41">
        <v>31</v>
      </c>
      <c r="G42" s="41">
        <v>29</v>
      </c>
      <c r="H42" s="41">
        <v>33</v>
      </c>
      <c r="I42" s="41">
        <v>27</v>
      </c>
      <c r="J42" s="41">
        <v>20</v>
      </c>
      <c r="K42" s="41">
        <v>16</v>
      </c>
      <c r="L42" s="41">
        <v>18</v>
      </c>
      <c r="M42" s="41">
        <v>21</v>
      </c>
      <c r="N42" s="41">
        <v>19</v>
      </c>
      <c r="O42" s="41">
        <v>20</v>
      </c>
      <c r="P42" s="41">
        <v>17</v>
      </c>
      <c r="Q42" s="41">
        <v>29</v>
      </c>
      <c r="R42" s="41">
        <v>19</v>
      </c>
      <c r="S42" s="41">
        <v>25</v>
      </c>
      <c r="T42" s="41">
        <v>9</v>
      </c>
      <c r="U42" s="41">
        <v>7</v>
      </c>
      <c r="V42" s="41">
        <v>19</v>
      </c>
      <c r="W42" s="41">
        <v>28</v>
      </c>
      <c r="X42" s="41">
        <v>17</v>
      </c>
      <c r="Y42" s="41">
        <v>35</v>
      </c>
      <c r="Z42" s="41"/>
      <c r="AA42" s="41"/>
      <c r="AB42" s="41"/>
      <c r="AC42" s="41">
        <v>20</v>
      </c>
      <c r="AD42" s="41">
        <v>22</v>
      </c>
      <c r="AE42" s="41">
        <v>19</v>
      </c>
      <c r="AF42" s="41">
        <v>21</v>
      </c>
      <c r="AG42" s="41">
        <v>15</v>
      </c>
      <c r="AH42" s="41">
        <v>4</v>
      </c>
      <c r="AI42" s="41">
        <v>20</v>
      </c>
      <c r="AJ42" s="41">
        <v>28</v>
      </c>
      <c r="AK42" s="41">
        <v>21</v>
      </c>
      <c r="AL42" s="41">
        <v>18</v>
      </c>
      <c r="AM42" s="41">
        <v>11</v>
      </c>
      <c r="AN42" s="41">
        <v>14</v>
      </c>
      <c r="AO42" s="41">
        <v>21</v>
      </c>
      <c r="AP42" s="41">
        <v>28</v>
      </c>
      <c r="AQ42" s="41">
        <v>15</v>
      </c>
      <c r="AR42" s="41">
        <v>16</v>
      </c>
      <c r="AS42" s="41">
        <v>25</v>
      </c>
      <c r="AT42" s="41">
        <v>19</v>
      </c>
      <c r="AU42" s="41">
        <v>17</v>
      </c>
      <c r="AV42" s="41">
        <v>16</v>
      </c>
      <c r="AW42" s="41">
        <v>24</v>
      </c>
      <c r="AX42" s="41">
        <v>23</v>
      </c>
      <c r="AY42" s="41">
        <v>20</v>
      </c>
      <c r="AZ42" s="41">
        <v>19</v>
      </c>
      <c r="BA42" s="41">
        <v>27</v>
      </c>
      <c r="BB42" s="41">
        <v>23</v>
      </c>
      <c r="BC42" s="41">
        <v>5</v>
      </c>
    </row>
    <row r="43" spans="1:55" x14ac:dyDescent="0.2">
      <c r="A43" s="41">
        <v>86</v>
      </c>
      <c r="B43" s="41">
        <v>13</v>
      </c>
      <c r="C43" s="41">
        <v>22</v>
      </c>
      <c r="D43" s="41">
        <v>19</v>
      </c>
      <c r="E43" s="41">
        <v>21</v>
      </c>
      <c r="F43" s="41">
        <v>28</v>
      </c>
      <c r="G43" s="41">
        <v>24</v>
      </c>
      <c r="H43" s="41">
        <v>31</v>
      </c>
      <c r="I43" s="41">
        <v>25</v>
      </c>
      <c r="J43" s="41">
        <v>20</v>
      </c>
      <c r="K43" s="41">
        <v>19</v>
      </c>
      <c r="L43" s="41">
        <v>22</v>
      </c>
      <c r="M43" s="41">
        <v>25</v>
      </c>
      <c r="N43" s="41">
        <v>20</v>
      </c>
      <c r="O43" s="41">
        <v>21</v>
      </c>
      <c r="P43" s="41">
        <v>13</v>
      </c>
      <c r="Q43" s="41">
        <v>25</v>
      </c>
      <c r="R43" s="41">
        <v>16</v>
      </c>
      <c r="S43" s="41">
        <v>23</v>
      </c>
      <c r="T43" s="41">
        <v>9</v>
      </c>
      <c r="U43" s="41">
        <v>7</v>
      </c>
      <c r="V43" s="41">
        <v>16</v>
      </c>
      <c r="W43" s="41">
        <v>30</v>
      </c>
      <c r="X43" s="41">
        <v>16</v>
      </c>
      <c r="Y43" s="41">
        <v>34</v>
      </c>
      <c r="Z43" s="41"/>
      <c r="AA43" s="41"/>
      <c r="AB43" s="41"/>
      <c r="AC43" s="41">
        <v>20</v>
      </c>
      <c r="AD43" s="41">
        <v>20</v>
      </c>
      <c r="AE43" s="41">
        <v>21</v>
      </c>
      <c r="AF43" s="41">
        <v>20</v>
      </c>
      <c r="AG43" s="41">
        <v>18</v>
      </c>
      <c r="AH43" s="41">
        <v>3</v>
      </c>
      <c r="AI43" s="41">
        <v>19</v>
      </c>
      <c r="AJ43" s="41">
        <v>22</v>
      </c>
      <c r="AK43" s="41">
        <v>17</v>
      </c>
      <c r="AL43" s="41">
        <v>20</v>
      </c>
      <c r="AM43" s="41">
        <v>6</v>
      </c>
      <c r="AN43" s="41">
        <v>19</v>
      </c>
      <c r="AO43" s="41">
        <v>23</v>
      </c>
      <c r="AP43" s="41">
        <v>27</v>
      </c>
      <c r="AQ43" s="41">
        <v>19</v>
      </c>
      <c r="AR43" s="41">
        <v>17</v>
      </c>
      <c r="AS43" s="41">
        <v>19</v>
      </c>
      <c r="AT43" s="41">
        <v>19</v>
      </c>
      <c r="AU43" s="41">
        <v>17</v>
      </c>
      <c r="AV43" s="41">
        <v>15</v>
      </c>
      <c r="AW43" s="41">
        <v>24</v>
      </c>
      <c r="AX43" s="41">
        <v>23</v>
      </c>
      <c r="AY43" s="41">
        <v>17</v>
      </c>
      <c r="AZ43" s="41">
        <v>16</v>
      </c>
      <c r="BA43" s="41">
        <v>26</v>
      </c>
      <c r="BB43" s="41">
        <v>21</v>
      </c>
      <c r="BC43" s="41">
        <v>2</v>
      </c>
    </row>
    <row r="44" spans="1:55" x14ac:dyDescent="0.2">
      <c r="A44" s="41">
        <v>88</v>
      </c>
      <c r="B44" s="41">
        <v>14</v>
      </c>
      <c r="C44" s="41">
        <v>24</v>
      </c>
      <c r="D44" s="41">
        <v>15</v>
      </c>
      <c r="E44" s="41">
        <v>22</v>
      </c>
      <c r="F44" s="41">
        <v>33</v>
      </c>
      <c r="G44" s="41">
        <v>27</v>
      </c>
      <c r="H44" s="41">
        <v>30</v>
      </c>
      <c r="I44" s="41">
        <v>28</v>
      </c>
      <c r="J44" s="41">
        <v>18</v>
      </c>
      <c r="K44" s="41">
        <v>23</v>
      </c>
      <c r="L44" s="41">
        <v>21</v>
      </c>
      <c r="M44" s="41">
        <v>22</v>
      </c>
      <c r="N44" s="41">
        <v>21</v>
      </c>
      <c r="O44" s="41">
        <v>23</v>
      </c>
      <c r="P44" s="41">
        <v>17</v>
      </c>
      <c r="Q44" s="41">
        <v>26</v>
      </c>
      <c r="R44" s="41">
        <v>18</v>
      </c>
      <c r="S44" s="41">
        <v>26</v>
      </c>
      <c r="T44" s="41">
        <v>8</v>
      </c>
      <c r="U44" s="41">
        <v>5</v>
      </c>
      <c r="V44" s="41">
        <v>13</v>
      </c>
      <c r="W44" s="41">
        <v>27</v>
      </c>
      <c r="X44" s="41">
        <v>14</v>
      </c>
      <c r="Y44" s="41">
        <v>38</v>
      </c>
      <c r="Z44" s="41"/>
      <c r="AA44" s="41"/>
      <c r="AB44" s="41"/>
      <c r="AC44" s="41">
        <v>19</v>
      </c>
      <c r="AD44" s="41">
        <v>19</v>
      </c>
      <c r="AE44" s="41">
        <v>21</v>
      </c>
      <c r="AF44" s="41">
        <v>23</v>
      </c>
      <c r="AG44" s="41">
        <v>18</v>
      </c>
      <c r="AH44" s="41">
        <v>2</v>
      </c>
      <c r="AI44" s="41">
        <v>22</v>
      </c>
      <c r="AJ44" s="41">
        <v>21</v>
      </c>
      <c r="AK44" s="41">
        <v>16</v>
      </c>
      <c r="AL44" s="41">
        <v>16</v>
      </c>
      <c r="AM44" s="41">
        <v>4</v>
      </c>
      <c r="AN44" s="41">
        <v>19</v>
      </c>
      <c r="AO44" s="41">
        <v>22</v>
      </c>
      <c r="AP44" s="41">
        <v>24</v>
      </c>
      <c r="AQ44" s="41">
        <v>21</v>
      </c>
      <c r="AR44" s="41">
        <v>19</v>
      </c>
      <c r="AS44" s="41">
        <v>21</v>
      </c>
      <c r="AT44" s="41">
        <v>20</v>
      </c>
      <c r="AU44" s="41">
        <v>19</v>
      </c>
      <c r="AV44" s="41">
        <v>19</v>
      </c>
      <c r="AW44" s="41">
        <v>25</v>
      </c>
      <c r="AX44" s="41">
        <v>20</v>
      </c>
      <c r="AY44" s="41">
        <v>16</v>
      </c>
      <c r="AZ44" s="41">
        <v>19</v>
      </c>
      <c r="BA44" s="41">
        <v>28</v>
      </c>
      <c r="BB44" s="41">
        <v>18</v>
      </c>
      <c r="BC44" s="41">
        <v>1</v>
      </c>
    </row>
    <row r="45" spans="1:55" x14ac:dyDescent="0.2">
      <c r="A45" s="41">
        <v>90</v>
      </c>
      <c r="B45" s="41">
        <v>17</v>
      </c>
      <c r="C45" s="41">
        <v>20</v>
      </c>
      <c r="D45" s="41">
        <v>15</v>
      </c>
      <c r="E45" s="41">
        <v>22</v>
      </c>
      <c r="F45" s="41">
        <v>34</v>
      </c>
      <c r="G45" s="41">
        <v>26</v>
      </c>
      <c r="H45" s="41">
        <v>32</v>
      </c>
      <c r="I45" s="41">
        <v>32</v>
      </c>
      <c r="J45" s="41">
        <v>18</v>
      </c>
      <c r="K45" s="41">
        <v>19</v>
      </c>
      <c r="L45" s="41">
        <v>19</v>
      </c>
      <c r="M45" s="41">
        <v>24</v>
      </c>
      <c r="N45" s="41">
        <v>23</v>
      </c>
      <c r="O45" s="41">
        <v>23</v>
      </c>
      <c r="P45" s="41">
        <v>19</v>
      </c>
      <c r="Q45" s="41">
        <v>25</v>
      </c>
      <c r="R45" s="41">
        <v>18</v>
      </c>
      <c r="S45" s="41">
        <v>26</v>
      </c>
      <c r="T45" s="41">
        <v>8</v>
      </c>
      <c r="U45" s="41">
        <v>3</v>
      </c>
      <c r="V45" s="41">
        <v>12</v>
      </c>
      <c r="W45" s="41">
        <v>27</v>
      </c>
      <c r="X45" s="41">
        <v>15</v>
      </c>
      <c r="Y45" s="41">
        <v>40</v>
      </c>
      <c r="Z45" s="41"/>
      <c r="AA45" s="41"/>
      <c r="AB45" s="41"/>
      <c r="AC45" s="41">
        <v>17</v>
      </c>
      <c r="AD45" s="41">
        <v>13</v>
      </c>
      <c r="AE45" s="41">
        <v>20</v>
      </c>
      <c r="AF45" s="41">
        <v>26</v>
      </c>
      <c r="AG45" s="41">
        <v>21</v>
      </c>
      <c r="AH45" s="41"/>
      <c r="AI45" s="41">
        <v>24</v>
      </c>
      <c r="AJ45" s="41">
        <v>17</v>
      </c>
      <c r="AK45" s="41">
        <v>12</v>
      </c>
      <c r="AL45" s="41">
        <v>14</v>
      </c>
      <c r="AM45" s="41">
        <v>6</v>
      </c>
      <c r="AN45" s="41">
        <v>23</v>
      </c>
      <c r="AO45" s="41">
        <v>22</v>
      </c>
      <c r="AP45" s="41">
        <v>27</v>
      </c>
      <c r="AQ45" s="41">
        <v>21</v>
      </c>
      <c r="AR45" s="41">
        <v>20</v>
      </c>
      <c r="AS45" s="41">
        <v>20</v>
      </c>
      <c r="AT45" s="41">
        <v>20</v>
      </c>
      <c r="AU45" s="41">
        <v>23</v>
      </c>
      <c r="AV45" s="41">
        <v>18</v>
      </c>
      <c r="AW45" s="41">
        <v>26</v>
      </c>
      <c r="AX45" s="41">
        <v>18</v>
      </c>
      <c r="AY45" s="41">
        <v>16</v>
      </c>
      <c r="AZ45" s="41">
        <v>19</v>
      </c>
      <c r="BA45" s="41">
        <v>25</v>
      </c>
      <c r="BB45" s="41">
        <v>17</v>
      </c>
      <c r="BC45" s="41">
        <v>1</v>
      </c>
    </row>
    <row r="46" spans="1:55" x14ac:dyDescent="0.2">
      <c r="A46" s="41">
        <v>92</v>
      </c>
      <c r="B46" s="41">
        <v>14</v>
      </c>
      <c r="C46" s="41">
        <v>21</v>
      </c>
      <c r="D46" s="41">
        <v>17</v>
      </c>
      <c r="E46" s="41">
        <v>24</v>
      </c>
      <c r="F46" s="41">
        <v>36</v>
      </c>
      <c r="G46" s="41">
        <v>27</v>
      </c>
      <c r="H46" s="41">
        <v>28</v>
      </c>
      <c r="I46" s="41">
        <v>25</v>
      </c>
      <c r="J46" s="41">
        <v>19</v>
      </c>
      <c r="K46" s="41">
        <v>20</v>
      </c>
      <c r="L46" s="41">
        <v>15</v>
      </c>
      <c r="M46" s="41">
        <v>20</v>
      </c>
      <c r="N46" s="41">
        <v>24</v>
      </c>
      <c r="O46" s="41">
        <v>27</v>
      </c>
      <c r="P46" s="41">
        <v>21</v>
      </c>
      <c r="Q46" s="41">
        <v>25</v>
      </c>
      <c r="R46" s="41">
        <v>16</v>
      </c>
      <c r="S46" s="41">
        <v>23</v>
      </c>
      <c r="T46" s="41">
        <v>12</v>
      </c>
      <c r="U46" s="41">
        <v>4</v>
      </c>
      <c r="V46" s="41">
        <v>11</v>
      </c>
      <c r="W46" s="41">
        <v>30</v>
      </c>
      <c r="X46" s="41">
        <v>14</v>
      </c>
      <c r="Y46" s="41">
        <v>39</v>
      </c>
      <c r="Z46" s="41"/>
      <c r="AA46" s="41"/>
      <c r="AB46" s="41"/>
      <c r="AC46" s="41">
        <v>21</v>
      </c>
      <c r="AD46" s="41">
        <v>15</v>
      </c>
      <c r="AE46" s="41">
        <v>18</v>
      </c>
      <c r="AF46" s="41">
        <v>25</v>
      </c>
      <c r="AG46" s="41">
        <v>15</v>
      </c>
      <c r="AH46" s="41"/>
      <c r="AI46" s="41">
        <v>24</v>
      </c>
      <c r="AJ46" s="41">
        <v>17</v>
      </c>
      <c r="AK46" s="41">
        <v>13</v>
      </c>
      <c r="AL46" s="41">
        <v>14</v>
      </c>
      <c r="AM46" s="41">
        <v>5</v>
      </c>
      <c r="AN46" s="41">
        <v>27</v>
      </c>
      <c r="AO46" s="41">
        <v>19</v>
      </c>
      <c r="AP46" s="41">
        <v>23</v>
      </c>
      <c r="AQ46" s="41">
        <v>19</v>
      </c>
      <c r="AR46" s="41">
        <v>17</v>
      </c>
      <c r="AS46" s="41">
        <v>17</v>
      </c>
      <c r="AT46" s="41">
        <v>21</v>
      </c>
      <c r="AU46" s="41">
        <v>23</v>
      </c>
      <c r="AV46" s="41">
        <v>20</v>
      </c>
      <c r="AW46" s="41">
        <v>22</v>
      </c>
      <c r="AX46" s="41">
        <v>16</v>
      </c>
      <c r="AY46" s="41">
        <v>13</v>
      </c>
      <c r="AZ46" s="41">
        <v>21</v>
      </c>
      <c r="BA46" s="41">
        <v>26</v>
      </c>
      <c r="BB46" s="41">
        <v>14</v>
      </c>
      <c r="BC46" s="41">
        <v>1</v>
      </c>
    </row>
    <row r="47" spans="1:55" x14ac:dyDescent="0.2">
      <c r="A47" s="41">
        <v>94</v>
      </c>
      <c r="B47" s="41">
        <v>15</v>
      </c>
      <c r="C47" s="41">
        <v>22</v>
      </c>
      <c r="D47" s="41">
        <v>17</v>
      </c>
      <c r="E47" s="41">
        <v>25</v>
      </c>
      <c r="F47" s="41">
        <v>34</v>
      </c>
      <c r="G47" s="41">
        <v>29</v>
      </c>
      <c r="H47" s="41">
        <v>32</v>
      </c>
      <c r="I47" s="41">
        <v>25</v>
      </c>
      <c r="J47" s="41">
        <v>24</v>
      </c>
      <c r="K47" s="41">
        <v>19</v>
      </c>
      <c r="L47" s="41">
        <v>16</v>
      </c>
      <c r="M47" s="41">
        <v>22</v>
      </c>
      <c r="N47" s="41">
        <v>23</v>
      </c>
      <c r="O47" s="41">
        <v>19</v>
      </c>
      <c r="P47" s="41">
        <v>17</v>
      </c>
      <c r="Q47" s="41">
        <v>26</v>
      </c>
      <c r="R47" s="41">
        <v>19</v>
      </c>
      <c r="S47" s="41">
        <v>25</v>
      </c>
      <c r="T47" s="41">
        <v>14</v>
      </c>
      <c r="U47" s="41">
        <v>1</v>
      </c>
      <c r="V47" s="41">
        <v>14</v>
      </c>
      <c r="W47" s="41">
        <v>28</v>
      </c>
      <c r="X47" s="41">
        <v>14</v>
      </c>
      <c r="Y47" s="41">
        <v>41</v>
      </c>
      <c r="Z47" s="41"/>
      <c r="AA47" s="41"/>
      <c r="AB47" s="41"/>
      <c r="AC47" s="41">
        <v>18</v>
      </c>
      <c r="AD47" s="41">
        <v>17</v>
      </c>
      <c r="AE47" s="41">
        <v>17</v>
      </c>
      <c r="AF47" s="41">
        <v>28</v>
      </c>
      <c r="AG47" s="41">
        <v>18</v>
      </c>
      <c r="AH47" s="41"/>
      <c r="AI47" s="41">
        <v>29</v>
      </c>
      <c r="AJ47" s="41">
        <v>19</v>
      </c>
      <c r="AK47" s="41">
        <v>11</v>
      </c>
      <c r="AL47" s="41">
        <v>13</v>
      </c>
      <c r="AM47" s="41">
        <v>4</v>
      </c>
      <c r="AN47" s="41">
        <v>21</v>
      </c>
      <c r="AO47" s="41">
        <v>20</v>
      </c>
      <c r="AP47" s="41">
        <v>21</v>
      </c>
      <c r="AQ47" s="41">
        <v>21</v>
      </c>
      <c r="AR47" s="41">
        <v>18</v>
      </c>
      <c r="AS47" s="41">
        <v>12</v>
      </c>
      <c r="AT47" s="41">
        <v>23</v>
      </c>
      <c r="AU47" s="41">
        <v>26</v>
      </c>
      <c r="AV47" s="41">
        <v>17</v>
      </c>
      <c r="AW47" s="41">
        <v>26</v>
      </c>
      <c r="AX47" s="41">
        <v>17</v>
      </c>
      <c r="AY47" s="41">
        <v>11</v>
      </c>
      <c r="AZ47" s="41">
        <v>21</v>
      </c>
      <c r="BA47" s="41">
        <v>28</v>
      </c>
      <c r="BB47" s="41">
        <v>17</v>
      </c>
      <c r="BC47" s="41"/>
    </row>
    <row r="48" spans="1:55" x14ac:dyDescent="0.2">
      <c r="A48" s="41">
        <v>96</v>
      </c>
      <c r="B48" s="41">
        <v>15</v>
      </c>
      <c r="C48" s="41">
        <v>25</v>
      </c>
      <c r="D48" s="41">
        <v>15</v>
      </c>
      <c r="E48" s="41">
        <v>25</v>
      </c>
      <c r="F48" s="41">
        <v>32</v>
      </c>
      <c r="G48" s="41">
        <v>24</v>
      </c>
      <c r="H48" s="41">
        <v>31</v>
      </c>
      <c r="I48" s="41">
        <v>29</v>
      </c>
      <c r="J48" s="41">
        <v>21</v>
      </c>
      <c r="K48" s="41">
        <v>21</v>
      </c>
      <c r="L48" s="41">
        <v>16</v>
      </c>
      <c r="M48" s="41">
        <v>17</v>
      </c>
      <c r="N48" s="41">
        <v>23</v>
      </c>
      <c r="O48" s="41">
        <v>21</v>
      </c>
      <c r="P48" s="41">
        <v>16</v>
      </c>
      <c r="Q48" s="41">
        <v>22</v>
      </c>
      <c r="R48" s="41">
        <v>20</v>
      </c>
      <c r="S48" s="41">
        <v>30</v>
      </c>
      <c r="T48" s="41">
        <v>12</v>
      </c>
      <c r="U48" s="41"/>
      <c r="V48" s="41">
        <v>15</v>
      </c>
      <c r="W48" s="41">
        <v>32</v>
      </c>
      <c r="X48" s="41">
        <v>15</v>
      </c>
      <c r="Y48" s="41">
        <v>38</v>
      </c>
      <c r="Z48" s="41"/>
      <c r="AA48" s="41"/>
      <c r="AB48" s="41"/>
      <c r="AC48" s="41">
        <v>19</v>
      </c>
      <c r="AD48" s="41">
        <v>15</v>
      </c>
      <c r="AE48" s="41">
        <v>16</v>
      </c>
      <c r="AF48" s="41">
        <v>28</v>
      </c>
      <c r="AG48" s="41">
        <v>19</v>
      </c>
      <c r="AH48" s="41"/>
      <c r="AI48" s="41">
        <v>23</v>
      </c>
      <c r="AJ48" s="41">
        <v>16</v>
      </c>
      <c r="AK48" s="41">
        <v>6</v>
      </c>
      <c r="AL48" s="41">
        <v>16</v>
      </c>
      <c r="AM48" s="41">
        <v>3</v>
      </c>
      <c r="AN48" s="41">
        <v>19</v>
      </c>
      <c r="AO48" s="41">
        <v>18</v>
      </c>
      <c r="AP48" s="41">
        <v>26</v>
      </c>
      <c r="AQ48" s="41">
        <v>25</v>
      </c>
      <c r="AR48" s="41">
        <v>21</v>
      </c>
      <c r="AS48" s="41">
        <v>16</v>
      </c>
      <c r="AT48" s="41">
        <v>24</v>
      </c>
      <c r="AU48" s="41">
        <v>30</v>
      </c>
      <c r="AV48" s="41">
        <v>13</v>
      </c>
      <c r="AW48" s="41">
        <v>28</v>
      </c>
      <c r="AX48" s="41">
        <v>16</v>
      </c>
      <c r="AY48" s="41">
        <v>14</v>
      </c>
      <c r="AZ48" s="41">
        <v>22</v>
      </c>
      <c r="BA48" s="41">
        <v>28</v>
      </c>
      <c r="BB48" s="41">
        <v>12</v>
      </c>
      <c r="BC48" s="41"/>
    </row>
    <row r="49" spans="1:55" x14ac:dyDescent="0.2">
      <c r="A49" s="41">
        <v>98</v>
      </c>
      <c r="B49" s="41">
        <v>17</v>
      </c>
      <c r="C49" s="41">
        <v>22</v>
      </c>
      <c r="D49" s="41">
        <v>14</v>
      </c>
      <c r="E49" s="41">
        <v>28</v>
      </c>
      <c r="F49" s="41">
        <v>36</v>
      </c>
      <c r="G49" s="41">
        <v>29</v>
      </c>
      <c r="H49" s="41">
        <v>30</v>
      </c>
      <c r="I49" s="41">
        <v>30</v>
      </c>
      <c r="J49" s="41">
        <v>21</v>
      </c>
      <c r="K49" s="41">
        <v>21</v>
      </c>
      <c r="L49" s="41">
        <v>17</v>
      </c>
      <c r="M49" s="41">
        <v>16</v>
      </c>
      <c r="N49" s="41">
        <v>26</v>
      </c>
      <c r="O49" s="41">
        <v>19</v>
      </c>
      <c r="P49" s="41">
        <v>22</v>
      </c>
      <c r="Q49" s="41">
        <v>18</v>
      </c>
      <c r="R49" s="41">
        <v>21</v>
      </c>
      <c r="S49" s="41">
        <v>31</v>
      </c>
      <c r="T49" s="41">
        <v>11</v>
      </c>
      <c r="U49" s="41"/>
      <c r="V49" s="41">
        <v>18</v>
      </c>
      <c r="W49" s="41">
        <v>32</v>
      </c>
      <c r="X49" s="41">
        <v>13</v>
      </c>
      <c r="Y49" s="41">
        <v>41</v>
      </c>
      <c r="Z49" s="41"/>
      <c r="AA49" s="41"/>
      <c r="AB49" s="41"/>
      <c r="AC49" s="41">
        <v>20</v>
      </c>
      <c r="AD49" s="41">
        <v>15</v>
      </c>
      <c r="AE49" s="41">
        <v>19</v>
      </c>
      <c r="AF49" s="41">
        <v>28</v>
      </c>
      <c r="AG49" s="41">
        <v>16</v>
      </c>
      <c r="AH49" s="41"/>
      <c r="AI49" s="41">
        <v>23</v>
      </c>
      <c r="AJ49" s="41">
        <v>18</v>
      </c>
      <c r="AK49" s="41">
        <v>6</v>
      </c>
      <c r="AL49" s="41">
        <v>11</v>
      </c>
      <c r="AM49" s="41">
        <v>4</v>
      </c>
      <c r="AN49" s="41">
        <v>25</v>
      </c>
      <c r="AO49" s="41">
        <v>17</v>
      </c>
      <c r="AP49" s="41">
        <v>19</v>
      </c>
      <c r="AQ49" s="41">
        <v>29</v>
      </c>
      <c r="AR49" s="41">
        <v>22</v>
      </c>
      <c r="AS49" s="41">
        <v>10</v>
      </c>
      <c r="AT49" s="41">
        <v>22</v>
      </c>
      <c r="AU49" s="41">
        <v>24</v>
      </c>
      <c r="AV49" s="41">
        <v>11</v>
      </c>
      <c r="AW49" s="41">
        <v>28</v>
      </c>
      <c r="AX49" s="41">
        <v>15</v>
      </c>
      <c r="AY49" s="41">
        <v>14</v>
      </c>
      <c r="AZ49" s="41">
        <v>24</v>
      </c>
      <c r="BA49" s="41">
        <v>26</v>
      </c>
      <c r="BB49" s="41">
        <v>12</v>
      </c>
      <c r="BC49" s="41"/>
    </row>
    <row r="50" spans="1:55" x14ac:dyDescent="0.2">
      <c r="A50" s="41">
        <v>100</v>
      </c>
      <c r="B50" s="41">
        <v>18</v>
      </c>
      <c r="C50" s="41">
        <v>27</v>
      </c>
      <c r="D50" s="41">
        <v>16</v>
      </c>
      <c r="E50" s="41">
        <v>25</v>
      </c>
      <c r="F50" s="41">
        <v>35</v>
      </c>
      <c r="G50" s="41">
        <v>31</v>
      </c>
      <c r="H50" s="41">
        <v>30</v>
      </c>
      <c r="I50" s="41">
        <v>33</v>
      </c>
      <c r="J50" s="41">
        <v>23</v>
      </c>
      <c r="K50" s="41">
        <v>22</v>
      </c>
      <c r="L50" s="41">
        <v>20</v>
      </c>
      <c r="M50" s="41">
        <v>17</v>
      </c>
      <c r="N50" s="41">
        <v>24</v>
      </c>
      <c r="O50" s="41">
        <v>18</v>
      </c>
      <c r="P50" s="41">
        <v>18</v>
      </c>
      <c r="Q50" s="41">
        <v>9</v>
      </c>
      <c r="R50" s="41">
        <v>21</v>
      </c>
      <c r="S50" s="41">
        <v>32</v>
      </c>
      <c r="T50" s="41">
        <v>7</v>
      </c>
      <c r="U50" s="41"/>
      <c r="V50" s="41">
        <v>16</v>
      </c>
      <c r="W50" s="41">
        <v>33</v>
      </c>
      <c r="X50" s="41">
        <v>15</v>
      </c>
      <c r="Y50" s="41">
        <v>36</v>
      </c>
      <c r="Z50" s="41"/>
      <c r="AA50" s="41"/>
      <c r="AB50" s="41"/>
      <c r="AC50" s="41">
        <v>26</v>
      </c>
      <c r="AD50" s="41">
        <v>12</v>
      </c>
      <c r="AE50" s="41">
        <v>18</v>
      </c>
      <c r="AF50" s="41">
        <v>27</v>
      </c>
      <c r="AG50" s="41">
        <v>14</v>
      </c>
      <c r="AH50" s="41"/>
      <c r="AI50" s="41">
        <v>26</v>
      </c>
      <c r="AJ50" s="41">
        <v>18</v>
      </c>
      <c r="AK50" s="41">
        <v>8</v>
      </c>
      <c r="AL50" s="41">
        <v>10</v>
      </c>
      <c r="AM50" s="41">
        <v>3</v>
      </c>
      <c r="AN50" s="41">
        <v>25</v>
      </c>
      <c r="AO50" s="41">
        <v>19</v>
      </c>
      <c r="AP50" s="41">
        <v>18</v>
      </c>
      <c r="AQ50" s="41">
        <v>26</v>
      </c>
      <c r="AR50" s="41">
        <v>24</v>
      </c>
      <c r="AS50" s="41">
        <v>11</v>
      </c>
      <c r="AT50" s="41">
        <v>21</v>
      </c>
      <c r="AU50" s="41">
        <v>27</v>
      </c>
      <c r="AV50" s="41">
        <v>10</v>
      </c>
      <c r="AW50" s="41">
        <v>25</v>
      </c>
      <c r="AX50" s="41">
        <v>11</v>
      </c>
      <c r="AY50" s="41">
        <v>17</v>
      </c>
      <c r="AZ50" s="41">
        <v>15</v>
      </c>
      <c r="BA50" s="41">
        <v>25</v>
      </c>
      <c r="BB50" s="41">
        <v>15</v>
      </c>
      <c r="BC50" s="41"/>
    </row>
    <row r="51" spans="1:55" x14ac:dyDescent="0.2">
      <c r="A51" s="41">
        <v>102</v>
      </c>
      <c r="B51" s="41">
        <v>18</v>
      </c>
      <c r="C51" s="41">
        <v>24</v>
      </c>
      <c r="D51" s="41">
        <v>15</v>
      </c>
      <c r="E51" s="41">
        <v>29</v>
      </c>
      <c r="F51" s="41">
        <v>36</v>
      </c>
      <c r="G51" s="41">
        <v>35</v>
      </c>
      <c r="H51" s="41">
        <v>27</v>
      </c>
      <c r="I51" s="41">
        <v>37</v>
      </c>
      <c r="J51" s="41">
        <v>22</v>
      </c>
      <c r="K51" s="41">
        <v>24</v>
      </c>
      <c r="L51" s="41">
        <v>17</v>
      </c>
      <c r="M51" s="41">
        <v>22</v>
      </c>
      <c r="N51" s="41">
        <v>24</v>
      </c>
      <c r="O51" s="41">
        <v>18</v>
      </c>
      <c r="P51" s="41">
        <v>19</v>
      </c>
      <c r="Q51" s="41">
        <v>10</v>
      </c>
      <c r="R51" s="41">
        <v>23</v>
      </c>
      <c r="S51" s="41">
        <v>34</v>
      </c>
      <c r="T51" s="41">
        <v>5</v>
      </c>
      <c r="U51" s="41"/>
      <c r="V51" s="41">
        <v>15</v>
      </c>
      <c r="W51" s="41">
        <v>31</v>
      </c>
      <c r="X51" s="41">
        <v>16</v>
      </c>
      <c r="Y51" s="41">
        <v>35</v>
      </c>
      <c r="Z51" s="41"/>
      <c r="AA51" s="41"/>
      <c r="AB51" s="41"/>
      <c r="AC51" s="41">
        <v>24</v>
      </c>
      <c r="AD51" s="41">
        <v>16</v>
      </c>
      <c r="AE51" s="41">
        <v>18</v>
      </c>
      <c r="AF51" s="41">
        <v>28</v>
      </c>
      <c r="AG51" s="41">
        <v>19</v>
      </c>
      <c r="AH51" s="41"/>
      <c r="AI51" s="41">
        <v>22</v>
      </c>
      <c r="AJ51" s="41">
        <v>16</v>
      </c>
      <c r="AK51" s="41">
        <v>8</v>
      </c>
      <c r="AL51" s="41">
        <v>7</v>
      </c>
      <c r="AM51" s="41">
        <v>3</v>
      </c>
      <c r="AN51" s="41">
        <v>27</v>
      </c>
      <c r="AO51" s="41">
        <v>17</v>
      </c>
      <c r="AP51" s="41">
        <v>21</v>
      </c>
      <c r="AQ51" s="41">
        <v>29</v>
      </c>
      <c r="AR51" s="41">
        <v>23</v>
      </c>
      <c r="AS51" s="41">
        <v>10</v>
      </c>
      <c r="AT51" s="41">
        <v>22</v>
      </c>
      <c r="AU51" s="41">
        <v>27</v>
      </c>
      <c r="AV51" s="41">
        <v>11</v>
      </c>
      <c r="AW51" s="41">
        <v>27</v>
      </c>
      <c r="AX51" s="41">
        <v>13</v>
      </c>
      <c r="AY51" s="41">
        <v>17</v>
      </c>
      <c r="AZ51" s="41">
        <v>16</v>
      </c>
      <c r="BA51" s="41">
        <v>20</v>
      </c>
      <c r="BB51" s="41">
        <v>15</v>
      </c>
      <c r="BC51" s="41"/>
    </row>
    <row r="52" spans="1:55" x14ac:dyDescent="0.2">
      <c r="A52" s="41">
        <v>104</v>
      </c>
      <c r="B52" s="41">
        <v>18</v>
      </c>
      <c r="C52" s="41">
        <v>23</v>
      </c>
      <c r="D52" s="41">
        <v>18</v>
      </c>
      <c r="E52" s="41">
        <v>22</v>
      </c>
      <c r="F52" s="41">
        <v>35</v>
      </c>
      <c r="G52" s="41">
        <v>35</v>
      </c>
      <c r="H52" s="41">
        <v>28</v>
      </c>
      <c r="I52" s="41">
        <v>35</v>
      </c>
      <c r="J52" s="41">
        <v>25</v>
      </c>
      <c r="K52" s="41">
        <v>24</v>
      </c>
      <c r="L52" s="41">
        <v>19</v>
      </c>
      <c r="M52" s="41">
        <v>21</v>
      </c>
      <c r="N52" s="41">
        <v>27</v>
      </c>
      <c r="O52" s="41">
        <v>19</v>
      </c>
      <c r="P52" s="41">
        <v>18</v>
      </c>
      <c r="Q52" s="41">
        <v>9</v>
      </c>
      <c r="R52" s="41">
        <v>21</v>
      </c>
      <c r="S52" s="41">
        <v>30</v>
      </c>
      <c r="T52" s="41">
        <v>3</v>
      </c>
      <c r="U52" s="41"/>
      <c r="V52" s="41">
        <v>15</v>
      </c>
      <c r="W52" s="41">
        <v>28</v>
      </c>
      <c r="X52" s="41">
        <v>19</v>
      </c>
      <c r="Y52" s="41">
        <v>37</v>
      </c>
      <c r="Z52" s="41"/>
      <c r="AA52" s="41"/>
      <c r="AB52" s="41"/>
      <c r="AC52" s="41">
        <v>25</v>
      </c>
      <c r="AD52" s="41">
        <v>14</v>
      </c>
      <c r="AE52" s="41">
        <v>23</v>
      </c>
      <c r="AF52" s="41">
        <v>22</v>
      </c>
      <c r="AG52" s="41">
        <v>20</v>
      </c>
      <c r="AH52" s="41"/>
      <c r="AI52" s="41">
        <v>24</v>
      </c>
      <c r="AJ52" s="41">
        <v>12</v>
      </c>
      <c r="AK52" s="41">
        <v>7</v>
      </c>
      <c r="AL52" s="41">
        <v>8</v>
      </c>
      <c r="AM52" s="41">
        <v>2</v>
      </c>
      <c r="AN52" s="41">
        <v>26</v>
      </c>
      <c r="AO52" s="41">
        <v>17</v>
      </c>
      <c r="AP52" s="41">
        <v>21</v>
      </c>
      <c r="AQ52" s="41">
        <v>30</v>
      </c>
      <c r="AR52" s="41">
        <v>23</v>
      </c>
      <c r="AS52" s="41">
        <v>12</v>
      </c>
      <c r="AT52" s="41">
        <v>23</v>
      </c>
      <c r="AU52" s="41">
        <v>27</v>
      </c>
      <c r="AV52" s="41">
        <v>11</v>
      </c>
      <c r="AW52" s="41">
        <v>29</v>
      </c>
      <c r="AX52" s="41">
        <v>11</v>
      </c>
      <c r="AY52" s="41">
        <v>18</v>
      </c>
      <c r="AZ52" s="41">
        <v>17</v>
      </c>
      <c r="BA52" s="41">
        <v>19</v>
      </c>
      <c r="BB52" s="41">
        <v>16</v>
      </c>
      <c r="BC52" s="41"/>
    </row>
    <row r="53" spans="1:55" x14ac:dyDescent="0.2">
      <c r="A53" s="41">
        <v>106</v>
      </c>
      <c r="B53" s="41">
        <v>15</v>
      </c>
      <c r="C53" s="41">
        <v>22</v>
      </c>
      <c r="D53" s="41">
        <v>18</v>
      </c>
      <c r="E53" s="41">
        <v>26</v>
      </c>
      <c r="F53" s="41">
        <v>38</v>
      </c>
      <c r="G53" s="41">
        <v>32</v>
      </c>
      <c r="H53" s="41">
        <v>26</v>
      </c>
      <c r="I53" s="41">
        <v>40</v>
      </c>
      <c r="J53" s="41">
        <v>26</v>
      </c>
      <c r="K53" s="41">
        <v>23</v>
      </c>
      <c r="L53" s="41">
        <v>17</v>
      </c>
      <c r="M53" s="41">
        <v>18</v>
      </c>
      <c r="N53" s="41">
        <v>27</v>
      </c>
      <c r="O53" s="41">
        <v>18</v>
      </c>
      <c r="P53" s="41">
        <v>18</v>
      </c>
      <c r="Q53" s="41">
        <v>4</v>
      </c>
      <c r="R53" s="41">
        <v>23</v>
      </c>
      <c r="S53" s="41">
        <v>30</v>
      </c>
      <c r="T53" s="41">
        <v>5</v>
      </c>
      <c r="U53" s="41"/>
      <c r="V53" s="41">
        <v>15</v>
      </c>
      <c r="W53" s="41">
        <v>24</v>
      </c>
      <c r="X53" s="41">
        <v>20</v>
      </c>
      <c r="Y53" s="41">
        <v>33</v>
      </c>
      <c r="Z53" s="41"/>
      <c r="AA53" s="41"/>
      <c r="AB53" s="41"/>
      <c r="AC53" s="41">
        <v>29</v>
      </c>
      <c r="AD53" s="41">
        <v>17</v>
      </c>
      <c r="AE53" s="41">
        <v>19</v>
      </c>
      <c r="AF53" s="41">
        <v>25</v>
      </c>
      <c r="AG53" s="41">
        <v>19</v>
      </c>
      <c r="AH53" s="41"/>
      <c r="AI53" s="41">
        <v>25</v>
      </c>
      <c r="AJ53" s="41">
        <v>14</v>
      </c>
      <c r="AK53" s="41">
        <v>4</v>
      </c>
      <c r="AL53" s="41">
        <v>6</v>
      </c>
      <c r="AM53" s="41">
        <v>1</v>
      </c>
      <c r="AN53" s="41">
        <v>29</v>
      </c>
      <c r="AO53" s="41">
        <v>21</v>
      </c>
      <c r="AP53" s="41">
        <v>19</v>
      </c>
      <c r="AQ53" s="41">
        <v>27</v>
      </c>
      <c r="AR53" s="41">
        <v>22</v>
      </c>
      <c r="AS53" s="41">
        <v>10</v>
      </c>
      <c r="AT53" s="41">
        <v>20</v>
      </c>
      <c r="AU53" s="41">
        <v>31</v>
      </c>
      <c r="AV53" s="41">
        <v>12</v>
      </c>
      <c r="AW53" s="41">
        <v>31</v>
      </c>
      <c r="AX53" s="41">
        <v>10</v>
      </c>
      <c r="AY53" s="41">
        <v>20</v>
      </c>
      <c r="AZ53" s="41">
        <v>11</v>
      </c>
      <c r="BA53" s="41">
        <v>18</v>
      </c>
      <c r="BB53" s="41">
        <v>11</v>
      </c>
      <c r="BC53" s="41"/>
    </row>
    <row r="54" spans="1:55" x14ac:dyDescent="0.2">
      <c r="A54" s="41">
        <v>108</v>
      </c>
      <c r="B54" s="41">
        <v>19</v>
      </c>
      <c r="C54" s="41">
        <v>28</v>
      </c>
      <c r="D54" s="41">
        <v>18</v>
      </c>
      <c r="E54" s="41">
        <v>25</v>
      </c>
      <c r="F54" s="41">
        <v>44</v>
      </c>
      <c r="G54" s="41">
        <v>31</v>
      </c>
      <c r="H54" s="41">
        <v>26</v>
      </c>
      <c r="I54" s="41">
        <v>33</v>
      </c>
      <c r="J54" s="41">
        <v>22</v>
      </c>
      <c r="K54" s="41">
        <v>23</v>
      </c>
      <c r="L54" s="41">
        <v>17</v>
      </c>
      <c r="M54" s="41">
        <v>21</v>
      </c>
      <c r="N54" s="41">
        <v>26</v>
      </c>
      <c r="O54" s="41">
        <v>21</v>
      </c>
      <c r="P54" s="41">
        <v>14</v>
      </c>
      <c r="Q54" s="41">
        <v>1</v>
      </c>
      <c r="R54" s="41">
        <v>21</v>
      </c>
      <c r="S54" s="41">
        <v>31</v>
      </c>
      <c r="T54" s="41">
        <v>3</v>
      </c>
      <c r="U54" s="41"/>
      <c r="V54" s="41">
        <v>18</v>
      </c>
      <c r="W54" s="41">
        <v>30</v>
      </c>
      <c r="X54" s="41">
        <v>18</v>
      </c>
      <c r="Y54" s="41">
        <v>33</v>
      </c>
      <c r="Z54" s="41"/>
      <c r="AA54" s="41"/>
      <c r="AB54" s="41"/>
      <c r="AC54" s="41">
        <v>31</v>
      </c>
      <c r="AD54" s="41">
        <v>16</v>
      </c>
      <c r="AE54" s="41">
        <v>20</v>
      </c>
      <c r="AF54" s="41">
        <v>24</v>
      </c>
      <c r="AG54" s="41">
        <v>20</v>
      </c>
      <c r="AH54" s="41"/>
      <c r="AI54" s="41">
        <v>28</v>
      </c>
      <c r="AJ54" s="41">
        <v>7</v>
      </c>
      <c r="AK54" s="41">
        <v>3</v>
      </c>
      <c r="AL54" s="41">
        <v>6</v>
      </c>
      <c r="AM54" s="41"/>
      <c r="AN54" s="41">
        <v>26</v>
      </c>
      <c r="AO54" s="41">
        <v>17</v>
      </c>
      <c r="AP54" s="41">
        <v>21</v>
      </c>
      <c r="AQ54" s="41">
        <v>22</v>
      </c>
      <c r="AR54" s="41">
        <v>21</v>
      </c>
      <c r="AS54" s="41">
        <v>13</v>
      </c>
      <c r="AT54" s="41">
        <v>17</v>
      </c>
      <c r="AU54" s="41">
        <v>29</v>
      </c>
      <c r="AV54" s="41">
        <v>13</v>
      </c>
      <c r="AW54" s="41">
        <v>27</v>
      </c>
      <c r="AX54" s="41">
        <v>5</v>
      </c>
      <c r="AY54" s="41">
        <v>22</v>
      </c>
      <c r="AZ54" s="41">
        <v>11</v>
      </c>
      <c r="BA54" s="41">
        <v>13</v>
      </c>
      <c r="BB54" s="41">
        <v>13</v>
      </c>
      <c r="BC54" s="41"/>
    </row>
    <row r="55" spans="1:55" x14ac:dyDescent="0.2">
      <c r="A55" s="41">
        <v>110</v>
      </c>
      <c r="B55" s="41">
        <v>17</v>
      </c>
      <c r="C55" s="41">
        <v>25</v>
      </c>
      <c r="D55" s="41">
        <v>16</v>
      </c>
      <c r="E55" s="41">
        <v>27</v>
      </c>
      <c r="F55" s="41">
        <v>41</v>
      </c>
      <c r="G55" s="41">
        <v>36</v>
      </c>
      <c r="H55" s="41">
        <v>26</v>
      </c>
      <c r="I55" s="41">
        <v>31</v>
      </c>
      <c r="J55" s="41">
        <v>20</v>
      </c>
      <c r="K55" s="41">
        <v>23</v>
      </c>
      <c r="L55" s="41">
        <v>18</v>
      </c>
      <c r="M55" s="41">
        <v>21</v>
      </c>
      <c r="N55" s="41">
        <v>24</v>
      </c>
      <c r="O55" s="41">
        <v>21</v>
      </c>
      <c r="P55" s="41">
        <v>16</v>
      </c>
      <c r="Q55" s="41"/>
      <c r="R55" s="41">
        <v>19</v>
      </c>
      <c r="S55" s="41">
        <v>28</v>
      </c>
      <c r="T55" s="41">
        <v>2</v>
      </c>
      <c r="U55" s="41"/>
      <c r="V55" s="41">
        <v>16</v>
      </c>
      <c r="W55" s="41">
        <v>28</v>
      </c>
      <c r="X55" s="41">
        <v>18</v>
      </c>
      <c r="Y55" s="41">
        <v>37</v>
      </c>
      <c r="Z55" s="41"/>
      <c r="AA55" s="41"/>
      <c r="AB55" s="41"/>
      <c r="AC55" s="41">
        <v>31</v>
      </c>
      <c r="AD55" s="41">
        <v>18</v>
      </c>
      <c r="AE55" s="41">
        <v>25</v>
      </c>
      <c r="AF55" s="41">
        <v>24</v>
      </c>
      <c r="AG55" s="41">
        <v>19</v>
      </c>
      <c r="AH55" s="41"/>
      <c r="AI55" s="41">
        <v>22</v>
      </c>
      <c r="AJ55" s="41">
        <v>3</v>
      </c>
      <c r="AK55" s="41">
        <v>2</v>
      </c>
      <c r="AL55" s="41">
        <v>5</v>
      </c>
      <c r="AM55" s="41"/>
      <c r="AN55" s="41">
        <v>25</v>
      </c>
      <c r="AO55" s="41">
        <v>16</v>
      </c>
      <c r="AP55" s="41">
        <v>23</v>
      </c>
      <c r="AQ55" s="41">
        <v>29</v>
      </c>
      <c r="AR55" s="41">
        <v>20</v>
      </c>
      <c r="AS55" s="41">
        <v>14</v>
      </c>
      <c r="AT55" s="41">
        <v>17</v>
      </c>
      <c r="AU55" s="41">
        <v>35</v>
      </c>
      <c r="AV55" s="41">
        <v>12</v>
      </c>
      <c r="AW55" s="41">
        <v>32</v>
      </c>
      <c r="AX55" s="41">
        <v>1</v>
      </c>
      <c r="AY55" s="41">
        <v>16</v>
      </c>
      <c r="AZ55" s="41">
        <v>7</v>
      </c>
      <c r="BA55" s="41">
        <v>11</v>
      </c>
      <c r="BB55" s="41">
        <v>13</v>
      </c>
      <c r="BC55" s="41"/>
    </row>
    <row r="56" spans="1:55" x14ac:dyDescent="0.2">
      <c r="A56" s="41">
        <v>112</v>
      </c>
      <c r="B56" s="41">
        <v>21</v>
      </c>
      <c r="C56" s="41">
        <v>26</v>
      </c>
      <c r="D56" s="41">
        <v>17</v>
      </c>
      <c r="E56" s="41">
        <v>23</v>
      </c>
      <c r="F56" s="41">
        <v>38</v>
      </c>
      <c r="G56" s="41">
        <v>33</v>
      </c>
      <c r="H56" s="41">
        <v>21</v>
      </c>
      <c r="I56" s="41">
        <v>37</v>
      </c>
      <c r="J56" s="41">
        <v>23</v>
      </c>
      <c r="K56" s="41">
        <v>21</v>
      </c>
      <c r="L56" s="41">
        <v>16</v>
      </c>
      <c r="M56" s="41">
        <v>22</v>
      </c>
      <c r="N56" s="41">
        <v>22</v>
      </c>
      <c r="O56" s="41">
        <v>21</v>
      </c>
      <c r="P56" s="41">
        <v>15</v>
      </c>
      <c r="Q56" s="41"/>
      <c r="R56" s="41">
        <v>19</v>
      </c>
      <c r="S56" s="41">
        <v>30</v>
      </c>
      <c r="T56" s="41">
        <v>1</v>
      </c>
      <c r="U56" s="41"/>
      <c r="V56" s="41">
        <v>17</v>
      </c>
      <c r="W56" s="41">
        <v>29</v>
      </c>
      <c r="X56" s="41">
        <v>17</v>
      </c>
      <c r="Y56" s="41">
        <v>37</v>
      </c>
      <c r="Z56" s="41"/>
      <c r="AA56" s="41"/>
      <c r="AB56" s="41"/>
      <c r="AC56" s="41">
        <v>34</v>
      </c>
      <c r="AD56" s="41">
        <v>17</v>
      </c>
      <c r="AE56" s="41">
        <v>21</v>
      </c>
      <c r="AF56" s="41">
        <v>21</v>
      </c>
      <c r="AG56" s="41">
        <v>20</v>
      </c>
      <c r="AH56" s="41"/>
      <c r="AI56" s="41">
        <v>22</v>
      </c>
      <c r="AJ56" s="41">
        <v>2</v>
      </c>
      <c r="AK56" s="41">
        <v>2</v>
      </c>
      <c r="AL56" s="41">
        <v>3</v>
      </c>
      <c r="AM56" s="41"/>
      <c r="AN56" s="41">
        <v>26</v>
      </c>
      <c r="AO56" s="41">
        <v>18</v>
      </c>
      <c r="AP56" s="41">
        <v>20</v>
      </c>
      <c r="AQ56" s="41">
        <v>27</v>
      </c>
      <c r="AR56" s="41">
        <v>19</v>
      </c>
      <c r="AS56" s="41">
        <v>12</v>
      </c>
      <c r="AT56" s="41">
        <v>13</v>
      </c>
      <c r="AU56" s="41">
        <v>30</v>
      </c>
      <c r="AV56" s="41">
        <v>7</v>
      </c>
      <c r="AW56" s="41">
        <v>31</v>
      </c>
      <c r="AX56" s="41"/>
      <c r="AY56" s="41">
        <v>17</v>
      </c>
      <c r="AZ56" s="41">
        <v>5</v>
      </c>
      <c r="BA56" s="41">
        <v>9</v>
      </c>
      <c r="BB56" s="41">
        <v>14</v>
      </c>
      <c r="BC56" s="41"/>
    </row>
    <row r="57" spans="1:55" x14ac:dyDescent="0.2">
      <c r="A57" s="41">
        <v>114</v>
      </c>
      <c r="B57" s="41">
        <v>19</v>
      </c>
      <c r="C57" s="41">
        <v>22</v>
      </c>
      <c r="D57" s="41">
        <v>21</v>
      </c>
      <c r="E57" s="41">
        <v>21</v>
      </c>
      <c r="F57" s="41">
        <v>32</v>
      </c>
      <c r="G57" s="41">
        <v>36</v>
      </c>
      <c r="H57" s="41">
        <v>23</v>
      </c>
      <c r="I57" s="41">
        <v>31</v>
      </c>
      <c r="J57" s="41">
        <v>22</v>
      </c>
      <c r="K57" s="41">
        <v>27</v>
      </c>
      <c r="L57" s="41">
        <v>23</v>
      </c>
      <c r="M57" s="41">
        <v>18</v>
      </c>
      <c r="N57" s="41">
        <v>23</v>
      </c>
      <c r="O57" s="41">
        <v>22</v>
      </c>
      <c r="P57" s="41">
        <v>7</v>
      </c>
      <c r="Q57" s="41"/>
      <c r="R57" s="41">
        <v>18</v>
      </c>
      <c r="S57" s="41">
        <v>27</v>
      </c>
      <c r="T57" s="41"/>
      <c r="U57" s="41"/>
      <c r="V57" s="41">
        <v>21</v>
      </c>
      <c r="W57" s="41">
        <v>33</v>
      </c>
      <c r="X57" s="41">
        <v>15</v>
      </c>
      <c r="Y57" s="41">
        <v>35</v>
      </c>
      <c r="Z57" s="41"/>
      <c r="AA57" s="41"/>
      <c r="AB57" s="41"/>
      <c r="AC57" s="41">
        <v>35</v>
      </c>
      <c r="AD57" s="41">
        <v>21</v>
      </c>
      <c r="AE57" s="41">
        <v>27</v>
      </c>
      <c r="AF57" s="41">
        <v>17</v>
      </c>
      <c r="AG57" s="41">
        <v>22</v>
      </c>
      <c r="AH57" s="41"/>
      <c r="AI57" s="41">
        <v>24</v>
      </c>
      <c r="AJ57" s="41">
        <v>1</v>
      </c>
      <c r="AK57" s="41"/>
      <c r="AL57" s="41">
        <v>3</v>
      </c>
      <c r="AM57" s="41"/>
      <c r="AN57" s="41">
        <v>22</v>
      </c>
      <c r="AO57" s="41">
        <v>21</v>
      </c>
      <c r="AP57" s="41">
        <v>20</v>
      </c>
      <c r="AQ57" s="41">
        <v>27</v>
      </c>
      <c r="AR57" s="41">
        <v>18</v>
      </c>
      <c r="AS57" s="41">
        <v>13</v>
      </c>
      <c r="AT57" s="41">
        <v>11</v>
      </c>
      <c r="AU57" s="41">
        <v>26</v>
      </c>
      <c r="AV57" s="41">
        <v>3</v>
      </c>
      <c r="AW57" s="41">
        <v>32</v>
      </c>
      <c r="AX57" s="41"/>
      <c r="AY57" s="41">
        <v>18</v>
      </c>
      <c r="AZ57" s="41">
        <v>2</v>
      </c>
      <c r="BA57" s="41">
        <v>10</v>
      </c>
      <c r="BB57" s="41">
        <v>11</v>
      </c>
      <c r="BC57" s="41"/>
    </row>
    <row r="58" spans="1:55" x14ac:dyDescent="0.2">
      <c r="A58" s="41">
        <v>116</v>
      </c>
      <c r="B58" s="41">
        <v>17</v>
      </c>
      <c r="C58" s="41">
        <v>32</v>
      </c>
      <c r="D58" s="41">
        <v>17</v>
      </c>
      <c r="E58" s="41">
        <v>20</v>
      </c>
      <c r="F58" s="41">
        <v>40</v>
      </c>
      <c r="G58" s="41">
        <v>33</v>
      </c>
      <c r="H58" s="41">
        <v>28</v>
      </c>
      <c r="I58" s="41">
        <v>27</v>
      </c>
      <c r="J58" s="41">
        <v>24</v>
      </c>
      <c r="K58" s="41">
        <v>28</v>
      </c>
      <c r="L58" s="41">
        <v>20</v>
      </c>
      <c r="M58" s="41">
        <v>18</v>
      </c>
      <c r="N58" s="41">
        <v>26</v>
      </c>
      <c r="O58" s="41">
        <v>21</v>
      </c>
      <c r="P58" s="41">
        <v>5</v>
      </c>
      <c r="Q58" s="41"/>
      <c r="R58" s="41">
        <v>22</v>
      </c>
      <c r="S58" s="41">
        <v>28</v>
      </c>
      <c r="T58" s="41"/>
      <c r="U58" s="41"/>
      <c r="V58" s="41">
        <v>16</v>
      </c>
      <c r="W58" s="41">
        <v>29</v>
      </c>
      <c r="X58" s="41">
        <v>18</v>
      </c>
      <c r="Y58" s="41">
        <v>32</v>
      </c>
      <c r="Z58" s="41"/>
      <c r="AA58" s="41"/>
      <c r="AB58" s="41"/>
      <c r="AC58" s="41">
        <v>33</v>
      </c>
      <c r="AD58" s="41">
        <v>18</v>
      </c>
      <c r="AE58" s="41">
        <v>22</v>
      </c>
      <c r="AF58" s="41">
        <v>15</v>
      </c>
      <c r="AG58" s="41">
        <v>23</v>
      </c>
      <c r="AH58" s="41"/>
      <c r="AI58" s="41">
        <v>25</v>
      </c>
      <c r="AJ58" s="41"/>
      <c r="AK58" s="41"/>
      <c r="AL58" s="41">
        <v>1</v>
      </c>
      <c r="AM58" s="41"/>
      <c r="AN58" s="41">
        <v>27</v>
      </c>
      <c r="AO58" s="41">
        <v>19</v>
      </c>
      <c r="AP58" s="41">
        <v>20</v>
      </c>
      <c r="AQ58" s="41">
        <v>24</v>
      </c>
      <c r="AR58" s="41">
        <v>18</v>
      </c>
      <c r="AS58" s="41">
        <v>12</v>
      </c>
      <c r="AT58" s="41">
        <v>11</v>
      </c>
      <c r="AU58" s="41">
        <v>35</v>
      </c>
      <c r="AV58" s="41">
        <v>2</v>
      </c>
      <c r="AW58" s="41">
        <v>32</v>
      </c>
      <c r="AX58" s="41"/>
      <c r="AY58" s="41">
        <v>21</v>
      </c>
      <c r="AZ58" s="41">
        <v>2</v>
      </c>
      <c r="BA58" s="41">
        <v>9</v>
      </c>
      <c r="BB58" s="41">
        <v>14</v>
      </c>
      <c r="BC58" s="41"/>
    </row>
    <row r="59" spans="1:55" x14ac:dyDescent="0.2">
      <c r="A59" s="41">
        <v>118</v>
      </c>
      <c r="B59" s="41">
        <v>19</v>
      </c>
      <c r="C59" s="41">
        <v>27</v>
      </c>
      <c r="D59" s="41">
        <v>19</v>
      </c>
      <c r="E59" s="41">
        <v>29</v>
      </c>
      <c r="F59" s="41">
        <v>40</v>
      </c>
      <c r="G59" s="41">
        <v>32</v>
      </c>
      <c r="H59" s="41">
        <v>25</v>
      </c>
      <c r="I59" s="41">
        <v>23</v>
      </c>
      <c r="J59" s="41">
        <v>25</v>
      </c>
      <c r="K59" s="41">
        <v>21</v>
      </c>
      <c r="L59" s="41">
        <v>20</v>
      </c>
      <c r="M59" s="41">
        <v>28</v>
      </c>
      <c r="N59" s="41">
        <v>22</v>
      </c>
      <c r="O59" s="41">
        <v>26</v>
      </c>
      <c r="P59" s="41">
        <v>6</v>
      </c>
      <c r="Q59" s="41"/>
      <c r="R59" s="41">
        <v>25</v>
      </c>
      <c r="S59" s="41">
        <v>21</v>
      </c>
      <c r="T59" s="41"/>
      <c r="U59" s="41"/>
      <c r="V59" s="41">
        <v>18</v>
      </c>
      <c r="W59" s="41">
        <v>26</v>
      </c>
      <c r="X59" s="41">
        <v>16</v>
      </c>
      <c r="Y59" s="41">
        <v>37</v>
      </c>
      <c r="Z59" s="41"/>
      <c r="AA59" s="41"/>
      <c r="AB59" s="41"/>
      <c r="AC59" s="41">
        <v>34</v>
      </c>
      <c r="AD59" s="41">
        <v>16</v>
      </c>
      <c r="AE59" s="41">
        <v>27</v>
      </c>
      <c r="AF59" s="41">
        <v>14</v>
      </c>
      <c r="AG59" s="41">
        <v>20</v>
      </c>
      <c r="AH59" s="41"/>
      <c r="AI59" s="41">
        <v>24</v>
      </c>
      <c r="AJ59" s="41"/>
      <c r="AK59" s="41"/>
      <c r="AL59" s="41"/>
      <c r="AM59" s="41"/>
      <c r="AN59" s="41">
        <v>26</v>
      </c>
      <c r="AO59" s="41">
        <v>23</v>
      </c>
      <c r="AP59" s="41">
        <v>20</v>
      </c>
      <c r="AQ59" s="41">
        <v>31</v>
      </c>
      <c r="AR59" s="41">
        <v>20</v>
      </c>
      <c r="AS59" s="41">
        <v>11</v>
      </c>
      <c r="AT59" s="41">
        <v>12</v>
      </c>
      <c r="AU59" s="41">
        <v>32</v>
      </c>
      <c r="AV59" s="41">
        <v>1</v>
      </c>
      <c r="AW59" s="41">
        <v>28</v>
      </c>
      <c r="AX59" s="41"/>
      <c r="AY59" s="41">
        <v>13</v>
      </c>
      <c r="AZ59" s="41"/>
      <c r="BA59" s="41">
        <v>12</v>
      </c>
      <c r="BB59" s="41">
        <v>11</v>
      </c>
      <c r="BC59" s="41"/>
    </row>
    <row r="60" spans="1:55" x14ac:dyDescent="0.2">
      <c r="A60" s="41">
        <v>120</v>
      </c>
      <c r="B60" s="41">
        <v>24</v>
      </c>
      <c r="C60" s="41">
        <v>28</v>
      </c>
      <c r="D60" s="41">
        <v>18</v>
      </c>
      <c r="E60" s="41">
        <v>25</v>
      </c>
      <c r="F60" s="41">
        <v>38</v>
      </c>
      <c r="G60" s="41">
        <v>32</v>
      </c>
      <c r="H60" s="41">
        <v>29</v>
      </c>
      <c r="I60" s="41">
        <v>21</v>
      </c>
      <c r="J60" s="41">
        <v>25</v>
      </c>
      <c r="K60" s="41">
        <v>22</v>
      </c>
      <c r="L60" s="41">
        <v>17</v>
      </c>
      <c r="M60" s="41">
        <v>24</v>
      </c>
      <c r="N60" s="41">
        <v>16</v>
      </c>
      <c r="O60" s="41">
        <v>24</v>
      </c>
      <c r="P60" s="41">
        <v>5</v>
      </c>
      <c r="Q60" s="41"/>
      <c r="R60" s="41">
        <v>27</v>
      </c>
      <c r="S60" s="41">
        <v>18</v>
      </c>
      <c r="T60" s="41"/>
      <c r="U60" s="41"/>
      <c r="V60" s="41">
        <v>19</v>
      </c>
      <c r="W60" s="41">
        <v>27</v>
      </c>
      <c r="X60" s="41">
        <v>17</v>
      </c>
      <c r="Y60" s="41">
        <v>37</v>
      </c>
      <c r="Z60" s="41"/>
      <c r="AA60" s="41"/>
      <c r="AB60" s="41"/>
      <c r="AC60" s="41">
        <v>29</v>
      </c>
      <c r="AD60" s="41">
        <v>19</v>
      </c>
      <c r="AE60" s="41">
        <v>24</v>
      </c>
      <c r="AF60" s="41">
        <v>12</v>
      </c>
      <c r="AG60" s="41">
        <v>20</v>
      </c>
      <c r="AH60" s="41"/>
      <c r="AI60" s="41">
        <v>18</v>
      </c>
      <c r="AJ60" s="41"/>
      <c r="AK60" s="41"/>
      <c r="AL60" s="41"/>
      <c r="AM60" s="41"/>
      <c r="AN60" s="41">
        <v>24</v>
      </c>
      <c r="AO60" s="41">
        <v>20</v>
      </c>
      <c r="AP60" s="41">
        <v>17</v>
      </c>
      <c r="AQ60" s="41">
        <v>31</v>
      </c>
      <c r="AR60" s="41">
        <v>16</v>
      </c>
      <c r="AS60" s="41">
        <v>12</v>
      </c>
      <c r="AT60" s="41">
        <v>10</v>
      </c>
      <c r="AU60" s="41">
        <v>34</v>
      </c>
      <c r="AV60" s="41"/>
      <c r="AW60" s="41">
        <v>31</v>
      </c>
      <c r="AX60" s="41"/>
      <c r="AY60" s="41">
        <v>7</v>
      </c>
      <c r="AZ60" s="41"/>
      <c r="BA60" s="41">
        <v>14</v>
      </c>
      <c r="BB60" s="41">
        <v>11</v>
      </c>
      <c r="BC60" s="41"/>
    </row>
    <row r="61" spans="1:55" x14ac:dyDescent="0.2">
      <c r="A61" s="41">
        <v>122</v>
      </c>
      <c r="B61" s="41">
        <v>23</v>
      </c>
      <c r="C61" s="41">
        <v>29</v>
      </c>
      <c r="D61" s="41">
        <v>26</v>
      </c>
      <c r="E61" s="41">
        <v>31</v>
      </c>
      <c r="F61" s="41">
        <v>35</v>
      </c>
      <c r="G61" s="41">
        <v>26</v>
      </c>
      <c r="H61" s="41">
        <v>25</v>
      </c>
      <c r="I61" s="41">
        <v>21</v>
      </c>
      <c r="J61" s="41">
        <v>27</v>
      </c>
      <c r="K61" s="41">
        <v>23</v>
      </c>
      <c r="L61" s="41">
        <v>19</v>
      </c>
      <c r="M61" s="41">
        <v>24</v>
      </c>
      <c r="N61" s="41">
        <v>15</v>
      </c>
      <c r="O61" s="41">
        <v>20</v>
      </c>
      <c r="P61" s="41">
        <v>7</v>
      </c>
      <c r="Q61" s="41"/>
      <c r="R61" s="41">
        <v>28</v>
      </c>
      <c r="S61" s="41">
        <v>11</v>
      </c>
      <c r="T61" s="41"/>
      <c r="U61" s="41"/>
      <c r="V61" s="41">
        <v>14</v>
      </c>
      <c r="W61" s="41">
        <v>29</v>
      </c>
      <c r="X61" s="41">
        <v>17</v>
      </c>
      <c r="Y61" s="41">
        <v>32</v>
      </c>
      <c r="Z61" s="41"/>
      <c r="AA61" s="41"/>
      <c r="AB61" s="41"/>
      <c r="AC61" s="41">
        <v>31</v>
      </c>
      <c r="AD61" s="41">
        <v>22</v>
      </c>
      <c r="AE61" s="41">
        <v>22</v>
      </c>
      <c r="AF61" s="41">
        <v>12</v>
      </c>
      <c r="AG61" s="41">
        <v>19</v>
      </c>
      <c r="AH61" s="41"/>
      <c r="AI61" s="41">
        <v>20</v>
      </c>
      <c r="AJ61" s="41"/>
      <c r="AK61" s="41"/>
      <c r="AL61" s="41"/>
      <c r="AM61" s="41"/>
      <c r="AN61" s="41">
        <v>26</v>
      </c>
      <c r="AO61" s="41">
        <v>21</v>
      </c>
      <c r="AP61" s="41">
        <v>15</v>
      </c>
      <c r="AQ61" s="41">
        <v>33</v>
      </c>
      <c r="AR61" s="41">
        <v>14</v>
      </c>
      <c r="AS61" s="41">
        <v>13</v>
      </c>
      <c r="AT61" s="41">
        <v>10</v>
      </c>
      <c r="AU61" s="41">
        <v>30</v>
      </c>
      <c r="AV61" s="41"/>
      <c r="AW61" s="41">
        <v>26</v>
      </c>
      <c r="AX61" s="41"/>
      <c r="AY61" s="41">
        <v>7</v>
      </c>
      <c r="AZ61" s="41"/>
      <c r="BA61" s="41">
        <v>9</v>
      </c>
      <c r="BB61" s="41">
        <v>10</v>
      </c>
      <c r="BC61" s="41"/>
    </row>
    <row r="62" spans="1:55" x14ac:dyDescent="0.2">
      <c r="A62" s="41">
        <v>124</v>
      </c>
      <c r="B62" s="41">
        <v>22</v>
      </c>
      <c r="C62" s="41">
        <v>24</v>
      </c>
      <c r="D62" s="41">
        <v>20</v>
      </c>
      <c r="E62" s="41">
        <v>32</v>
      </c>
      <c r="F62" s="41">
        <v>35</v>
      </c>
      <c r="G62" s="41">
        <v>22</v>
      </c>
      <c r="H62" s="41">
        <v>27</v>
      </c>
      <c r="I62" s="41">
        <v>23</v>
      </c>
      <c r="J62" s="41">
        <v>28</v>
      </c>
      <c r="K62" s="41">
        <v>27</v>
      </c>
      <c r="L62" s="41">
        <v>18</v>
      </c>
      <c r="M62" s="41">
        <v>27</v>
      </c>
      <c r="N62" s="41">
        <v>17</v>
      </c>
      <c r="O62" s="41">
        <v>19</v>
      </c>
      <c r="P62" s="41">
        <v>6</v>
      </c>
      <c r="Q62" s="41"/>
      <c r="R62" s="41">
        <v>25</v>
      </c>
      <c r="S62" s="41">
        <v>15</v>
      </c>
      <c r="T62" s="41"/>
      <c r="U62" s="41"/>
      <c r="V62" s="41">
        <v>18</v>
      </c>
      <c r="W62" s="41">
        <v>30</v>
      </c>
      <c r="X62" s="41">
        <v>16</v>
      </c>
      <c r="Y62" s="41">
        <v>36</v>
      </c>
      <c r="Z62" s="41"/>
      <c r="AA62" s="41"/>
      <c r="AB62" s="41"/>
      <c r="AC62" s="41">
        <v>30</v>
      </c>
      <c r="AD62" s="41">
        <v>24</v>
      </c>
      <c r="AE62" s="41">
        <v>22</v>
      </c>
      <c r="AF62" s="41">
        <v>15</v>
      </c>
      <c r="AG62" s="41">
        <v>17</v>
      </c>
      <c r="AH62" s="41"/>
      <c r="AI62" s="41">
        <v>27</v>
      </c>
      <c r="AJ62" s="41"/>
      <c r="AK62" s="41"/>
      <c r="AL62" s="41"/>
      <c r="AM62" s="41"/>
      <c r="AN62" s="41">
        <v>25</v>
      </c>
      <c r="AO62" s="41">
        <v>19</v>
      </c>
      <c r="AP62" s="41">
        <v>12</v>
      </c>
      <c r="AQ62" s="41">
        <v>34</v>
      </c>
      <c r="AR62" s="41">
        <v>17</v>
      </c>
      <c r="AS62" s="41">
        <v>11</v>
      </c>
      <c r="AT62" s="41">
        <v>9</v>
      </c>
      <c r="AU62" s="41">
        <v>29</v>
      </c>
      <c r="AV62" s="41"/>
      <c r="AW62" s="41">
        <v>27</v>
      </c>
      <c r="AX62" s="41"/>
      <c r="AY62" s="41">
        <v>4</v>
      </c>
      <c r="AZ62" s="41"/>
      <c r="BA62" s="41">
        <v>11</v>
      </c>
      <c r="BB62" s="41">
        <v>12</v>
      </c>
      <c r="BC62" s="41"/>
    </row>
    <row r="63" spans="1:55" x14ac:dyDescent="0.2">
      <c r="A63" s="41">
        <v>126</v>
      </c>
      <c r="B63" s="41">
        <v>21</v>
      </c>
      <c r="C63" s="41">
        <v>15</v>
      </c>
      <c r="D63" s="41">
        <v>21</v>
      </c>
      <c r="E63" s="41">
        <v>33</v>
      </c>
      <c r="F63" s="41">
        <v>34</v>
      </c>
      <c r="G63" s="41">
        <v>19</v>
      </c>
      <c r="H63" s="41">
        <v>26</v>
      </c>
      <c r="I63" s="41">
        <v>19</v>
      </c>
      <c r="J63" s="41">
        <v>27</v>
      </c>
      <c r="K63" s="41">
        <v>23</v>
      </c>
      <c r="L63" s="41">
        <v>20</v>
      </c>
      <c r="M63" s="41">
        <v>24</v>
      </c>
      <c r="N63" s="41">
        <v>15</v>
      </c>
      <c r="O63" s="41">
        <v>24</v>
      </c>
      <c r="P63" s="41">
        <v>6</v>
      </c>
      <c r="Q63" s="41"/>
      <c r="R63" s="41">
        <v>24</v>
      </c>
      <c r="S63" s="41">
        <v>9</v>
      </c>
      <c r="T63" s="41"/>
      <c r="U63" s="41"/>
      <c r="V63" s="41">
        <v>17</v>
      </c>
      <c r="W63" s="41">
        <v>29</v>
      </c>
      <c r="X63" s="41">
        <v>17</v>
      </c>
      <c r="Y63" s="41">
        <v>36</v>
      </c>
      <c r="Z63" s="41"/>
      <c r="AA63" s="41"/>
      <c r="AB63" s="41"/>
      <c r="AC63" s="41">
        <v>28</v>
      </c>
      <c r="AD63" s="41">
        <v>21</v>
      </c>
      <c r="AE63" s="41">
        <v>22</v>
      </c>
      <c r="AF63" s="41">
        <v>16</v>
      </c>
      <c r="AG63" s="41">
        <v>12</v>
      </c>
      <c r="AH63" s="41"/>
      <c r="AI63" s="41">
        <v>26</v>
      </c>
      <c r="AJ63" s="41"/>
      <c r="AK63" s="41"/>
      <c r="AL63" s="41"/>
      <c r="AM63" s="41"/>
      <c r="AN63" s="41">
        <v>19</v>
      </c>
      <c r="AO63" s="41">
        <v>23</v>
      </c>
      <c r="AP63" s="41">
        <v>17</v>
      </c>
      <c r="AQ63" s="41">
        <v>34</v>
      </c>
      <c r="AR63" s="41">
        <v>10</v>
      </c>
      <c r="AS63" s="41">
        <v>13</v>
      </c>
      <c r="AT63" s="41">
        <v>7</v>
      </c>
      <c r="AU63" s="41">
        <v>30</v>
      </c>
      <c r="AV63" s="41"/>
      <c r="AW63" s="41">
        <v>30</v>
      </c>
      <c r="AX63" s="41"/>
      <c r="AY63" s="41">
        <v>3</v>
      </c>
      <c r="AZ63" s="41"/>
      <c r="BA63" s="41">
        <v>9</v>
      </c>
      <c r="BB63" s="41">
        <v>11</v>
      </c>
      <c r="BC63" s="41"/>
    </row>
    <row r="64" spans="1:55" x14ac:dyDescent="0.2">
      <c r="A64" s="41">
        <v>128</v>
      </c>
      <c r="B64" s="41">
        <v>19</v>
      </c>
      <c r="C64" s="41">
        <v>15</v>
      </c>
      <c r="D64" s="41">
        <v>18</v>
      </c>
      <c r="E64" s="41">
        <v>30</v>
      </c>
      <c r="F64" s="41">
        <v>32</v>
      </c>
      <c r="G64" s="41">
        <v>18</v>
      </c>
      <c r="H64" s="41">
        <v>28</v>
      </c>
      <c r="I64" s="41">
        <v>25</v>
      </c>
      <c r="J64" s="41">
        <v>30</v>
      </c>
      <c r="K64" s="41">
        <v>22</v>
      </c>
      <c r="L64" s="41">
        <v>20</v>
      </c>
      <c r="M64" s="41">
        <v>25</v>
      </c>
      <c r="N64" s="41">
        <v>17</v>
      </c>
      <c r="O64" s="41">
        <v>19</v>
      </c>
      <c r="P64" s="41">
        <v>7</v>
      </c>
      <c r="Q64" s="41"/>
      <c r="R64" s="41">
        <v>27</v>
      </c>
      <c r="S64" s="41">
        <v>10</v>
      </c>
      <c r="T64" s="41"/>
      <c r="U64" s="41"/>
      <c r="V64" s="41">
        <v>22</v>
      </c>
      <c r="W64" s="41">
        <v>27</v>
      </c>
      <c r="X64" s="41">
        <v>18</v>
      </c>
      <c r="Y64" s="41">
        <v>35</v>
      </c>
      <c r="Z64" s="41"/>
      <c r="AA64" s="41"/>
      <c r="AB64" s="41"/>
      <c r="AC64" s="41">
        <v>30</v>
      </c>
      <c r="AD64" s="41">
        <v>20</v>
      </c>
      <c r="AE64" s="41">
        <v>24</v>
      </c>
      <c r="AF64" s="41">
        <v>16</v>
      </c>
      <c r="AG64" s="41">
        <v>10</v>
      </c>
      <c r="AH64" s="41"/>
      <c r="AI64" s="41">
        <v>27</v>
      </c>
      <c r="AJ64" s="41"/>
      <c r="AK64" s="41"/>
      <c r="AL64" s="41"/>
      <c r="AM64" s="41"/>
      <c r="AN64" s="41">
        <v>24</v>
      </c>
      <c r="AO64" s="41">
        <v>20</v>
      </c>
      <c r="AP64" s="41">
        <v>20</v>
      </c>
      <c r="AQ64" s="41">
        <v>33</v>
      </c>
      <c r="AR64" s="41">
        <v>9</v>
      </c>
      <c r="AS64" s="41">
        <v>11</v>
      </c>
      <c r="AT64" s="41">
        <v>6</v>
      </c>
      <c r="AU64" s="41">
        <v>26</v>
      </c>
      <c r="AV64" s="41"/>
      <c r="AW64" s="41">
        <v>26</v>
      </c>
      <c r="AX64" s="41"/>
      <c r="AY64" s="41"/>
      <c r="AZ64" s="41"/>
      <c r="BA64" s="41">
        <v>8</v>
      </c>
      <c r="BB64" s="41">
        <v>10</v>
      </c>
      <c r="BC64" s="41"/>
    </row>
    <row r="65" spans="1:55" x14ac:dyDescent="0.2">
      <c r="A65" s="41">
        <v>130</v>
      </c>
      <c r="B65" s="41">
        <v>20</v>
      </c>
      <c r="C65" s="41">
        <v>16</v>
      </c>
      <c r="D65" s="41">
        <v>18</v>
      </c>
      <c r="E65" s="41">
        <v>38</v>
      </c>
      <c r="F65" s="41">
        <v>33</v>
      </c>
      <c r="G65" s="41">
        <v>16</v>
      </c>
      <c r="H65" s="41">
        <v>24</v>
      </c>
      <c r="I65" s="41">
        <v>24</v>
      </c>
      <c r="J65" s="41">
        <v>29</v>
      </c>
      <c r="K65" s="41">
        <v>22</v>
      </c>
      <c r="L65" s="41">
        <v>17</v>
      </c>
      <c r="M65" s="41">
        <v>26</v>
      </c>
      <c r="N65" s="41">
        <v>21</v>
      </c>
      <c r="O65" s="41">
        <v>19</v>
      </c>
      <c r="P65" s="41">
        <v>5</v>
      </c>
      <c r="Q65" s="41"/>
      <c r="R65" s="41">
        <v>25</v>
      </c>
      <c r="S65" s="41">
        <v>16</v>
      </c>
      <c r="T65" s="41"/>
      <c r="U65" s="41"/>
      <c r="V65" s="41">
        <v>18</v>
      </c>
      <c r="W65" s="41">
        <v>31</v>
      </c>
      <c r="X65" s="41">
        <v>21</v>
      </c>
      <c r="Y65" s="41">
        <v>46</v>
      </c>
      <c r="Z65" s="41"/>
      <c r="AA65" s="41"/>
      <c r="AB65" s="41"/>
      <c r="AC65" s="41">
        <v>32</v>
      </c>
      <c r="AD65" s="41">
        <v>19</v>
      </c>
      <c r="AE65" s="41">
        <v>24</v>
      </c>
      <c r="AF65" s="41">
        <v>14</v>
      </c>
      <c r="AG65" s="41">
        <v>9</v>
      </c>
      <c r="AH65" s="41"/>
      <c r="AI65" s="41">
        <v>27</v>
      </c>
      <c r="AJ65" s="41"/>
      <c r="AK65" s="41"/>
      <c r="AL65" s="41"/>
      <c r="AM65" s="41"/>
      <c r="AN65" s="41">
        <v>26</v>
      </c>
      <c r="AO65" s="41">
        <v>21</v>
      </c>
      <c r="AP65" s="41">
        <v>20</v>
      </c>
      <c r="AQ65" s="41">
        <v>34</v>
      </c>
      <c r="AR65" s="41">
        <v>9</v>
      </c>
      <c r="AS65" s="41">
        <v>12</v>
      </c>
      <c r="AT65" s="41">
        <v>6</v>
      </c>
      <c r="AU65" s="41">
        <v>25</v>
      </c>
      <c r="AV65" s="41"/>
      <c r="AW65" s="41">
        <v>34</v>
      </c>
      <c r="AX65" s="41"/>
      <c r="AY65" s="41"/>
      <c r="AZ65" s="41"/>
      <c r="BA65" s="41">
        <v>7</v>
      </c>
      <c r="BB65" s="41">
        <v>11</v>
      </c>
      <c r="BC65" s="41"/>
    </row>
    <row r="66" spans="1:55" x14ac:dyDescent="0.2">
      <c r="A66" s="41">
        <v>132</v>
      </c>
      <c r="B66" s="41">
        <v>21</v>
      </c>
      <c r="C66" s="41">
        <v>14</v>
      </c>
      <c r="D66" s="41">
        <v>15</v>
      </c>
      <c r="E66" s="41">
        <v>34</v>
      </c>
      <c r="F66" s="41">
        <v>33</v>
      </c>
      <c r="G66" s="41">
        <v>18</v>
      </c>
      <c r="H66" s="41">
        <v>30</v>
      </c>
      <c r="I66" s="41">
        <v>25</v>
      </c>
      <c r="J66" s="41">
        <v>30</v>
      </c>
      <c r="K66" s="41">
        <v>22</v>
      </c>
      <c r="L66" s="41">
        <v>17</v>
      </c>
      <c r="M66" s="41">
        <v>28</v>
      </c>
      <c r="N66" s="41">
        <v>17</v>
      </c>
      <c r="O66" s="41">
        <v>17</v>
      </c>
      <c r="P66" s="41">
        <v>4</v>
      </c>
      <c r="Q66" s="41"/>
      <c r="R66" s="41">
        <v>18</v>
      </c>
      <c r="S66" s="41">
        <v>16</v>
      </c>
      <c r="T66" s="41"/>
      <c r="U66" s="41"/>
      <c r="V66" s="41">
        <v>19</v>
      </c>
      <c r="W66" s="41">
        <v>26</v>
      </c>
      <c r="X66" s="41">
        <v>20</v>
      </c>
      <c r="Y66" s="41">
        <v>40</v>
      </c>
      <c r="Z66" s="41"/>
      <c r="AA66" s="41"/>
      <c r="AB66" s="41"/>
      <c r="AC66" s="41">
        <v>30</v>
      </c>
      <c r="AD66" s="41">
        <v>22</v>
      </c>
      <c r="AE66" s="41">
        <v>20</v>
      </c>
      <c r="AF66" s="41">
        <v>14</v>
      </c>
      <c r="AG66" s="41">
        <v>5</v>
      </c>
      <c r="AH66" s="41"/>
      <c r="AI66" s="41">
        <v>25</v>
      </c>
      <c r="AJ66" s="41"/>
      <c r="AK66" s="41"/>
      <c r="AL66" s="41"/>
      <c r="AM66" s="41"/>
      <c r="AN66" s="41">
        <v>23</v>
      </c>
      <c r="AO66" s="41">
        <v>20</v>
      </c>
      <c r="AP66" s="41">
        <v>17</v>
      </c>
      <c r="AQ66" s="41">
        <v>37</v>
      </c>
      <c r="AR66" s="41">
        <v>8</v>
      </c>
      <c r="AS66" s="41">
        <v>10</v>
      </c>
      <c r="AT66" s="41">
        <v>5</v>
      </c>
      <c r="AU66" s="41">
        <v>30</v>
      </c>
      <c r="AV66" s="41"/>
      <c r="AW66" s="41">
        <v>31</v>
      </c>
      <c r="AX66" s="41"/>
      <c r="AY66" s="41"/>
      <c r="AZ66" s="41"/>
      <c r="BA66" s="41">
        <v>5</v>
      </c>
      <c r="BB66" s="41">
        <v>12</v>
      </c>
      <c r="BC66" s="41"/>
    </row>
    <row r="67" spans="1:55" x14ac:dyDescent="0.2">
      <c r="A67" s="41">
        <v>134</v>
      </c>
      <c r="B67" s="41">
        <v>18</v>
      </c>
      <c r="C67" s="41">
        <v>13</v>
      </c>
      <c r="D67" s="41">
        <v>16</v>
      </c>
      <c r="E67" s="41">
        <v>31</v>
      </c>
      <c r="F67" s="41">
        <v>36</v>
      </c>
      <c r="G67" s="41">
        <v>16</v>
      </c>
      <c r="H67" s="41">
        <v>31</v>
      </c>
      <c r="I67" s="41">
        <v>17</v>
      </c>
      <c r="J67" s="41">
        <v>30</v>
      </c>
      <c r="K67" s="41">
        <v>23</v>
      </c>
      <c r="L67" s="41">
        <v>17</v>
      </c>
      <c r="M67" s="41">
        <v>22</v>
      </c>
      <c r="N67" s="41">
        <v>14</v>
      </c>
      <c r="O67" s="41">
        <v>18</v>
      </c>
      <c r="P67" s="41">
        <v>2</v>
      </c>
      <c r="Q67" s="41"/>
      <c r="R67" s="41">
        <v>17</v>
      </c>
      <c r="S67" s="41">
        <v>13</v>
      </c>
      <c r="T67" s="41"/>
      <c r="U67" s="41"/>
      <c r="V67" s="41">
        <v>18</v>
      </c>
      <c r="W67" s="41">
        <v>19</v>
      </c>
      <c r="X67" s="41">
        <v>22</v>
      </c>
      <c r="Y67" s="41">
        <v>40</v>
      </c>
      <c r="Z67" s="41"/>
      <c r="AA67" s="41"/>
      <c r="AB67" s="41"/>
      <c r="AC67" s="41">
        <v>26</v>
      </c>
      <c r="AD67" s="41">
        <v>26</v>
      </c>
      <c r="AE67" s="41">
        <v>23</v>
      </c>
      <c r="AF67" s="41">
        <v>17</v>
      </c>
      <c r="AG67" s="41">
        <v>5</v>
      </c>
      <c r="AH67" s="41"/>
      <c r="AI67" s="41">
        <v>22</v>
      </c>
      <c r="AJ67" s="41"/>
      <c r="AK67" s="41"/>
      <c r="AL67" s="41"/>
      <c r="AM67" s="41"/>
      <c r="AN67" s="41">
        <v>25</v>
      </c>
      <c r="AO67" s="41">
        <v>12</v>
      </c>
      <c r="AP67" s="41">
        <v>17</v>
      </c>
      <c r="AQ67" s="41">
        <v>31</v>
      </c>
      <c r="AR67" s="41">
        <v>6</v>
      </c>
      <c r="AS67" s="41">
        <v>7</v>
      </c>
      <c r="AT67" s="41">
        <v>5</v>
      </c>
      <c r="AU67" s="41">
        <v>25</v>
      </c>
      <c r="AV67" s="41"/>
      <c r="AW67" s="41">
        <v>27</v>
      </c>
      <c r="AX67" s="41"/>
      <c r="AY67" s="41"/>
      <c r="AZ67" s="41"/>
      <c r="BA67" s="41">
        <v>3</v>
      </c>
      <c r="BB67" s="41">
        <v>15</v>
      </c>
      <c r="BC67" s="41"/>
    </row>
    <row r="68" spans="1:55" x14ac:dyDescent="0.2">
      <c r="A68" s="41">
        <v>136</v>
      </c>
      <c r="B68" s="41">
        <v>19</v>
      </c>
      <c r="C68" s="41">
        <v>12</v>
      </c>
      <c r="D68" s="41">
        <v>17</v>
      </c>
      <c r="E68" s="41">
        <v>31</v>
      </c>
      <c r="F68" s="41">
        <v>34</v>
      </c>
      <c r="G68" s="41">
        <v>14</v>
      </c>
      <c r="H68" s="41">
        <v>28</v>
      </c>
      <c r="I68" s="41">
        <v>20</v>
      </c>
      <c r="J68" s="41">
        <v>26</v>
      </c>
      <c r="K68" s="41">
        <v>18</v>
      </c>
      <c r="L68" s="41">
        <v>17</v>
      </c>
      <c r="M68" s="41">
        <v>23</v>
      </c>
      <c r="N68" s="41">
        <v>14</v>
      </c>
      <c r="O68" s="41">
        <v>19</v>
      </c>
      <c r="P68" s="41">
        <v>4</v>
      </c>
      <c r="Q68" s="41"/>
      <c r="R68" s="41">
        <v>15</v>
      </c>
      <c r="S68" s="41">
        <v>13</v>
      </c>
      <c r="T68" s="41"/>
      <c r="U68" s="41"/>
      <c r="V68" s="41">
        <v>16</v>
      </c>
      <c r="W68" s="41">
        <v>27</v>
      </c>
      <c r="X68" s="41">
        <v>19</v>
      </c>
      <c r="Y68" s="41">
        <v>40</v>
      </c>
      <c r="Z68" s="41"/>
      <c r="AA68" s="41"/>
      <c r="AB68" s="41"/>
      <c r="AC68" s="41">
        <v>24</v>
      </c>
      <c r="AD68" s="41">
        <v>27</v>
      </c>
      <c r="AE68" s="41">
        <v>24</v>
      </c>
      <c r="AF68" s="41">
        <v>12</v>
      </c>
      <c r="AG68" s="41">
        <v>5</v>
      </c>
      <c r="AH68" s="41"/>
      <c r="AI68" s="41">
        <v>22</v>
      </c>
      <c r="AJ68" s="41"/>
      <c r="AK68" s="41"/>
      <c r="AL68" s="41"/>
      <c r="AM68" s="41"/>
      <c r="AN68" s="41">
        <v>26</v>
      </c>
      <c r="AO68" s="41">
        <v>7</v>
      </c>
      <c r="AP68" s="41">
        <v>17</v>
      </c>
      <c r="AQ68" s="41">
        <v>34</v>
      </c>
      <c r="AR68" s="41">
        <v>3</v>
      </c>
      <c r="AS68" s="41">
        <v>7</v>
      </c>
      <c r="AT68" s="41">
        <v>5</v>
      </c>
      <c r="AU68" s="41">
        <v>26</v>
      </c>
      <c r="AV68" s="41"/>
      <c r="AW68" s="41">
        <v>24</v>
      </c>
      <c r="AX68" s="41"/>
      <c r="AY68" s="41"/>
      <c r="AZ68" s="41"/>
      <c r="BA68" s="41">
        <v>2</v>
      </c>
      <c r="BB68" s="41">
        <v>14</v>
      </c>
      <c r="BC68" s="41"/>
    </row>
    <row r="69" spans="1:55" x14ac:dyDescent="0.2">
      <c r="A69" s="41">
        <v>138</v>
      </c>
      <c r="B69" s="41">
        <v>17</v>
      </c>
      <c r="C69" s="41">
        <v>11</v>
      </c>
      <c r="D69" s="41">
        <v>18</v>
      </c>
      <c r="E69" s="41">
        <v>31</v>
      </c>
      <c r="F69" s="41">
        <v>31</v>
      </c>
      <c r="G69" s="41">
        <v>14</v>
      </c>
      <c r="H69" s="41">
        <v>34</v>
      </c>
      <c r="I69" s="41">
        <v>21</v>
      </c>
      <c r="J69" s="41">
        <v>25</v>
      </c>
      <c r="K69" s="41">
        <v>22</v>
      </c>
      <c r="L69" s="41">
        <v>20</v>
      </c>
      <c r="M69" s="41">
        <v>27</v>
      </c>
      <c r="N69" s="41">
        <v>14</v>
      </c>
      <c r="O69" s="41">
        <v>16</v>
      </c>
      <c r="P69" s="41">
        <v>2</v>
      </c>
      <c r="Q69" s="41"/>
      <c r="R69" s="41">
        <v>12</v>
      </c>
      <c r="S69" s="41">
        <v>13</v>
      </c>
      <c r="T69" s="41"/>
      <c r="U69" s="41"/>
      <c r="V69" s="41">
        <v>16</v>
      </c>
      <c r="W69" s="41">
        <v>29</v>
      </c>
      <c r="X69" s="41">
        <v>20</v>
      </c>
      <c r="Y69" s="41">
        <v>39</v>
      </c>
      <c r="Z69" s="41"/>
      <c r="AA69" s="41"/>
      <c r="AB69" s="41"/>
      <c r="AC69" s="41">
        <v>19</v>
      </c>
      <c r="AD69" s="41">
        <v>16</v>
      </c>
      <c r="AE69" s="41">
        <v>27</v>
      </c>
      <c r="AF69" s="41">
        <v>15</v>
      </c>
      <c r="AG69" s="41">
        <v>5</v>
      </c>
      <c r="AH69" s="41"/>
      <c r="AI69" s="41">
        <v>17</v>
      </c>
      <c r="AJ69" s="41"/>
      <c r="AK69" s="41"/>
      <c r="AL69" s="41"/>
      <c r="AM69" s="41"/>
      <c r="AN69" s="41">
        <v>23</v>
      </c>
      <c r="AO69" s="41">
        <v>7</v>
      </c>
      <c r="AP69" s="41">
        <v>16</v>
      </c>
      <c r="AQ69" s="41">
        <v>30</v>
      </c>
      <c r="AR69" s="41">
        <v>4</v>
      </c>
      <c r="AS69" s="41">
        <v>8</v>
      </c>
      <c r="AT69" s="41">
        <v>3</v>
      </c>
      <c r="AU69" s="41">
        <v>27</v>
      </c>
      <c r="AV69" s="41"/>
      <c r="AW69" s="41">
        <v>19</v>
      </c>
      <c r="AX69" s="41"/>
      <c r="AY69" s="41"/>
      <c r="AZ69" s="41"/>
      <c r="BA69" s="41"/>
      <c r="BB69" s="41">
        <v>11</v>
      </c>
      <c r="BC69" s="41"/>
    </row>
    <row r="70" spans="1:55" x14ac:dyDescent="0.2">
      <c r="A70" s="41">
        <v>140</v>
      </c>
      <c r="B70" s="41">
        <v>18</v>
      </c>
      <c r="C70" s="41">
        <v>11</v>
      </c>
      <c r="D70" s="41">
        <v>16</v>
      </c>
      <c r="E70" s="41">
        <v>27</v>
      </c>
      <c r="F70" s="41">
        <v>30</v>
      </c>
      <c r="G70" s="41">
        <v>16</v>
      </c>
      <c r="H70" s="41">
        <v>36</v>
      </c>
      <c r="I70" s="41">
        <v>20</v>
      </c>
      <c r="J70" s="41">
        <v>20</v>
      </c>
      <c r="K70" s="41">
        <v>20</v>
      </c>
      <c r="L70" s="41">
        <v>23</v>
      </c>
      <c r="M70" s="41">
        <v>25</v>
      </c>
      <c r="N70" s="41">
        <v>14</v>
      </c>
      <c r="O70" s="41">
        <v>19</v>
      </c>
      <c r="P70" s="41">
        <v>1</v>
      </c>
      <c r="Q70" s="41"/>
      <c r="R70" s="41">
        <v>11</v>
      </c>
      <c r="S70" s="41">
        <v>10</v>
      </c>
      <c r="T70" s="41"/>
      <c r="U70" s="41"/>
      <c r="V70" s="41">
        <v>15</v>
      </c>
      <c r="W70" s="41">
        <v>27</v>
      </c>
      <c r="X70" s="41">
        <v>21</v>
      </c>
      <c r="Y70" s="41">
        <v>37</v>
      </c>
      <c r="Z70" s="41"/>
      <c r="AA70" s="41"/>
      <c r="AB70" s="41"/>
      <c r="AC70" s="41">
        <v>18</v>
      </c>
      <c r="AD70" s="41">
        <v>15</v>
      </c>
      <c r="AE70" s="41">
        <v>19</v>
      </c>
      <c r="AF70" s="41">
        <v>11</v>
      </c>
      <c r="AG70" s="41">
        <v>4</v>
      </c>
      <c r="AH70" s="41"/>
      <c r="AI70" s="41">
        <v>17</v>
      </c>
      <c r="AJ70" s="41"/>
      <c r="AK70" s="41"/>
      <c r="AL70" s="41"/>
      <c r="AM70" s="41"/>
      <c r="AN70" s="41">
        <v>27</v>
      </c>
      <c r="AO70" s="41">
        <v>5</v>
      </c>
      <c r="AP70" s="41">
        <v>10</v>
      </c>
      <c r="AQ70" s="41">
        <v>27</v>
      </c>
      <c r="AR70" s="41">
        <v>3</v>
      </c>
      <c r="AS70" s="41">
        <v>7</v>
      </c>
      <c r="AT70" s="41">
        <v>1</v>
      </c>
      <c r="AU70" s="41">
        <v>32</v>
      </c>
      <c r="AV70" s="41"/>
      <c r="AW70" s="41">
        <v>14</v>
      </c>
      <c r="AX70" s="41"/>
      <c r="AY70" s="41"/>
      <c r="AZ70" s="41"/>
      <c r="BA70" s="41"/>
      <c r="BB70" s="41">
        <v>13</v>
      </c>
      <c r="BC70" s="41"/>
    </row>
    <row r="71" spans="1:55" x14ac:dyDescent="0.2">
      <c r="A71" s="41">
        <v>142</v>
      </c>
      <c r="B71" s="41">
        <v>18</v>
      </c>
      <c r="C71" s="41">
        <v>9</v>
      </c>
      <c r="D71" s="41">
        <v>15</v>
      </c>
      <c r="E71" s="41">
        <v>28</v>
      </c>
      <c r="F71" s="41">
        <v>29</v>
      </c>
      <c r="G71" s="41">
        <v>16</v>
      </c>
      <c r="H71" s="41">
        <v>37</v>
      </c>
      <c r="I71" s="41">
        <v>18</v>
      </c>
      <c r="J71" s="41">
        <v>23</v>
      </c>
      <c r="K71" s="41">
        <v>22</v>
      </c>
      <c r="L71" s="41">
        <v>24</v>
      </c>
      <c r="M71" s="41">
        <v>19</v>
      </c>
      <c r="N71" s="41">
        <v>14</v>
      </c>
      <c r="O71" s="41">
        <v>16</v>
      </c>
      <c r="P71" s="41"/>
      <c r="Q71" s="41"/>
      <c r="R71" s="41">
        <v>8</v>
      </c>
      <c r="S71" s="41">
        <v>7</v>
      </c>
      <c r="T71" s="41"/>
      <c r="U71" s="41"/>
      <c r="V71" s="41">
        <v>18</v>
      </c>
      <c r="W71" s="41">
        <v>33</v>
      </c>
      <c r="X71" s="41">
        <v>22</v>
      </c>
      <c r="Y71" s="41">
        <v>33</v>
      </c>
      <c r="Z71" s="41"/>
      <c r="AA71" s="41"/>
      <c r="AB71" s="41"/>
      <c r="AC71" s="41">
        <v>16</v>
      </c>
      <c r="AD71" s="41">
        <v>18</v>
      </c>
      <c r="AE71" s="41">
        <v>24</v>
      </c>
      <c r="AF71" s="41">
        <v>13</v>
      </c>
      <c r="AG71" s="41">
        <v>1</v>
      </c>
      <c r="AH71" s="41"/>
      <c r="AI71" s="41">
        <v>17</v>
      </c>
      <c r="AJ71" s="41"/>
      <c r="AK71" s="41"/>
      <c r="AL71" s="41"/>
      <c r="AM71" s="41"/>
      <c r="AN71" s="41">
        <v>27</v>
      </c>
      <c r="AO71" s="41">
        <v>3</v>
      </c>
      <c r="AP71" s="41">
        <v>14</v>
      </c>
      <c r="AQ71" s="41">
        <v>30</v>
      </c>
      <c r="AR71" s="41">
        <v>2</v>
      </c>
      <c r="AS71" s="41">
        <v>5</v>
      </c>
      <c r="AT71" s="41">
        <v>1</v>
      </c>
      <c r="AU71" s="41">
        <v>30</v>
      </c>
      <c r="AV71" s="41"/>
      <c r="AW71" s="41">
        <v>11</v>
      </c>
      <c r="AX71" s="41"/>
      <c r="AY71" s="41"/>
      <c r="AZ71" s="41"/>
      <c r="BA71" s="41"/>
      <c r="BB71" s="41">
        <v>14</v>
      </c>
      <c r="BC71" s="41"/>
    </row>
    <row r="72" spans="1:55" x14ac:dyDescent="0.2">
      <c r="A72" s="41">
        <v>144</v>
      </c>
      <c r="B72" s="41">
        <v>18</v>
      </c>
      <c r="C72" s="41">
        <v>7</v>
      </c>
      <c r="D72" s="41">
        <v>17</v>
      </c>
      <c r="E72" s="41">
        <v>26</v>
      </c>
      <c r="F72" s="41">
        <v>31</v>
      </c>
      <c r="G72" s="41">
        <v>15</v>
      </c>
      <c r="H72" s="41">
        <v>39</v>
      </c>
      <c r="I72" s="41">
        <v>20</v>
      </c>
      <c r="J72" s="41">
        <v>23</v>
      </c>
      <c r="K72" s="41">
        <v>24</v>
      </c>
      <c r="L72" s="41">
        <v>23</v>
      </c>
      <c r="M72" s="41">
        <v>16</v>
      </c>
      <c r="N72" s="41">
        <v>16</v>
      </c>
      <c r="O72" s="41">
        <v>19</v>
      </c>
      <c r="P72" s="41"/>
      <c r="Q72" s="41"/>
      <c r="R72" s="41">
        <v>5</v>
      </c>
      <c r="S72" s="41">
        <v>8</v>
      </c>
      <c r="T72" s="41"/>
      <c r="U72" s="41"/>
      <c r="V72" s="41">
        <v>12</v>
      </c>
      <c r="W72" s="41">
        <v>29</v>
      </c>
      <c r="X72" s="41">
        <v>26</v>
      </c>
      <c r="Y72" s="41">
        <v>23</v>
      </c>
      <c r="Z72" s="41"/>
      <c r="AA72" s="41"/>
      <c r="AB72" s="41"/>
      <c r="AC72" s="41">
        <v>12</v>
      </c>
      <c r="AD72" s="41">
        <v>16</v>
      </c>
      <c r="AE72" s="41">
        <v>24</v>
      </c>
      <c r="AF72" s="41">
        <v>8</v>
      </c>
      <c r="AG72" s="41">
        <v>3</v>
      </c>
      <c r="AH72" s="41"/>
      <c r="AI72" s="41">
        <v>15</v>
      </c>
      <c r="AJ72" s="41"/>
      <c r="AK72" s="41"/>
      <c r="AL72" s="41"/>
      <c r="AM72" s="41"/>
      <c r="AN72" s="41">
        <v>24</v>
      </c>
      <c r="AO72" s="41"/>
      <c r="AP72" s="41">
        <v>16</v>
      </c>
      <c r="AQ72" s="41">
        <v>28</v>
      </c>
      <c r="AR72" s="41">
        <v>2</v>
      </c>
      <c r="AS72" s="41">
        <v>3</v>
      </c>
      <c r="AT72" s="41"/>
      <c r="AU72" s="41">
        <v>33</v>
      </c>
      <c r="AV72" s="41"/>
      <c r="AW72" s="41">
        <v>5</v>
      </c>
      <c r="AX72" s="41"/>
      <c r="AY72" s="41"/>
      <c r="AZ72" s="41"/>
      <c r="BA72" s="41"/>
      <c r="BB72" s="41">
        <v>14</v>
      </c>
      <c r="BC72" s="41"/>
    </row>
    <row r="73" spans="1:55" x14ac:dyDescent="0.2">
      <c r="A73" s="41">
        <v>146</v>
      </c>
      <c r="B73" s="41">
        <v>19</v>
      </c>
      <c r="C73" s="41">
        <v>6</v>
      </c>
      <c r="D73" s="41">
        <v>18</v>
      </c>
      <c r="E73" s="41">
        <v>29</v>
      </c>
      <c r="F73" s="41">
        <v>25</v>
      </c>
      <c r="G73" s="41">
        <v>14</v>
      </c>
      <c r="H73" s="41">
        <v>41</v>
      </c>
      <c r="I73" s="41">
        <v>22</v>
      </c>
      <c r="J73" s="41">
        <v>22</v>
      </c>
      <c r="K73" s="41">
        <v>23</v>
      </c>
      <c r="L73" s="41">
        <v>18</v>
      </c>
      <c r="M73" s="41">
        <v>12</v>
      </c>
      <c r="N73" s="41">
        <v>13</v>
      </c>
      <c r="O73" s="41">
        <v>15</v>
      </c>
      <c r="P73" s="41"/>
      <c r="Q73" s="41"/>
      <c r="R73" s="41">
        <v>2</v>
      </c>
      <c r="S73" s="41">
        <v>7</v>
      </c>
      <c r="T73" s="41"/>
      <c r="U73" s="41"/>
      <c r="V73" s="41">
        <v>13</v>
      </c>
      <c r="W73" s="41">
        <v>28</v>
      </c>
      <c r="X73" s="41">
        <v>24</v>
      </c>
      <c r="Y73" s="41">
        <v>21</v>
      </c>
      <c r="Z73" s="41"/>
      <c r="AA73" s="41"/>
      <c r="AB73" s="41"/>
      <c r="AC73" s="41">
        <v>10</v>
      </c>
      <c r="AD73" s="41">
        <v>14</v>
      </c>
      <c r="AE73" s="41">
        <v>22</v>
      </c>
      <c r="AF73" s="41">
        <v>12</v>
      </c>
      <c r="AG73" s="41">
        <v>3</v>
      </c>
      <c r="AH73" s="41"/>
      <c r="AI73" s="41">
        <v>14</v>
      </c>
      <c r="AJ73" s="41"/>
      <c r="AK73" s="41"/>
      <c r="AL73" s="41"/>
      <c r="AM73" s="41"/>
      <c r="AN73" s="41">
        <v>22</v>
      </c>
      <c r="AO73" s="41"/>
      <c r="AP73" s="41">
        <v>12</v>
      </c>
      <c r="AQ73" s="41">
        <v>26</v>
      </c>
      <c r="AR73" s="41">
        <v>1</v>
      </c>
      <c r="AS73" s="41">
        <v>4</v>
      </c>
      <c r="AT73" s="41"/>
      <c r="AU73" s="41">
        <v>30</v>
      </c>
      <c r="AV73" s="41"/>
      <c r="AW73" s="41">
        <v>8</v>
      </c>
      <c r="AX73" s="41"/>
      <c r="AY73" s="41"/>
      <c r="AZ73" s="41"/>
      <c r="BA73" s="41"/>
      <c r="BB73" s="41">
        <v>13</v>
      </c>
      <c r="BC73" s="41"/>
    </row>
    <row r="74" spans="1:55" x14ac:dyDescent="0.2">
      <c r="A74" s="41">
        <v>148</v>
      </c>
      <c r="B74" s="41">
        <v>19</v>
      </c>
      <c r="C74" s="41">
        <v>5</v>
      </c>
      <c r="D74" s="41">
        <v>18</v>
      </c>
      <c r="E74" s="41">
        <v>29</v>
      </c>
      <c r="F74" s="41">
        <v>25</v>
      </c>
      <c r="G74" s="41">
        <v>16</v>
      </c>
      <c r="H74" s="41">
        <v>41</v>
      </c>
      <c r="I74" s="41">
        <v>21</v>
      </c>
      <c r="J74" s="41">
        <v>22</v>
      </c>
      <c r="K74" s="41">
        <v>24</v>
      </c>
      <c r="L74" s="41">
        <v>22</v>
      </c>
      <c r="M74" s="41">
        <v>17</v>
      </c>
      <c r="N74" s="41">
        <v>14</v>
      </c>
      <c r="O74" s="41">
        <v>14</v>
      </c>
      <c r="P74" s="41"/>
      <c r="Q74" s="41"/>
      <c r="R74" s="41">
        <v>5</v>
      </c>
      <c r="S74" s="41">
        <v>7</v>
      </c>
      <c r="T74" s="41"/>
      <c r="U74" s="41"/>
      <c r="V74" s="41">
        <v>14</v>
      </c>
      <c r="W74" s="41">
        <v>27</v>
      </c>
      <c r="X74" s="41">
        <v>22</v>
      </c>
      <c r="Y74" s="41">
        <v>23</v>
      </c>
      <c r="Z74" s="41"/>
      <c r="AA74" s="41"/>
      <c r="AB74" s="41"/>
      <c r="AC74" s="41">
        <v>12</v>
      </c>
      <c r="AD74" s="41">
        <v>12</v>
      </c>
      <c r="AE74" s="41">
        <v>22</v>
      </c>
      <c r="AF74" s="41">
        <v>12</v>
      </c>
      <c r="AG74" s="41">
        <v>2</v>
      </c>
      <c r="AH74" s="41"/>
      <c r="AI74" s="41">
        <v>10</v>
      </c>
      <c r="AJ74" s="41"/>
      <c r="AK74" s="41"/>
      <c r="AL74" s="41"/>
      <c r="AM74" s="41"/>
      <c r="AN74" s="41">
        <v>18</v>
      </c>
      <c r="AO74" s="41"/>
      <c r="AP74" s="41">
        <v>13</v>
      </c>
      <c r="AQ74" s="41">
        <v>26</v>
      </c>
      <c r="AR74" s="41"/>
      <c r="AS74" s="41">
        <v>3</v>
      </c>
      <c r="AT74" s="41"/>
      <c r="AU74" s="41">
        <v>33</v>
      </c>
      <c r="AV74" s="41"/>
      <c r="AW74" s="41">
        <v>9</v>
      </c>
      <c r="AX74" s="41"/>
      <c r="AY74" s="41"/>
      <c r="AZ74" s="41"/>
      <c r="BA74" s="41"/>
      <c r="BB74" s="41">
        <v>11</v>
      </c>
      <c r="BC74" s="41"/>
    </row>
    <row r="75" spans="1:55" x14ac:dyDescent="0.2">
      <c r="A75" s="41">
        <v>150</v>
      </c>
      <c r="B75" s="41">
        <v>16</v>
      </c>
      <c r="C75" s="41">
        <v>5</v>
      </c>
      <c r="D75" s="41">
        <v>17</v>
      </c>
      <c r="E75" s="41">
        <v>28</v>
      </c>
      <c r="F75" s="41">
        <v>26</v>
      </c>
      <c r="G75" s="41">
        <v>13</v>
      </c>
      <c r="H75" s="41">
        <v>40</v>
      </c>
      <c r="I75" s="41">
        <v>20</v>
      </c>
      <c r="J75" s="41">
        <v>26</v>
      </c>
      <c r="K75" s="41">
        <v>23</v>
      </c>
      <c r="L75" s="41">
        <v>25</v>
      </c>
      <c r="M75" s="41">
        <v>18</v>
      </c>
      <c r="N75" s="41">
        <v>14</v>
      </c>
      <c r="O75" s="41">
        <v>12</v>
      </c>
      <c r="P75" s="41"/>
      <c r="Q75" s="41"/>
      <c r="R75" s="41">
        <v>3</v>
      </c>
      <c r="S75" s="41">
        <v>5</v>
      </c>
      <c r="T75" s="41"/>
      <c r="U75" s="41"/>
      <c r="V75" s="41">
        <v>14</v>
      </c>
      <c r="W75" s="41">
        <v>34</v>
      </c>
      <c r="X75" s="41">
        <v>20</v>
      </c>
      <c r="Y75" s="41">
        <v>24</v>
      </c>
      <c r="Z75" s="41"/>
      <c r="AA75" s="41"/>
      <c r="AB75" s="41"/>
      <c r="AC75" s="41">
        <v>10</v>
      </c>
      <c r="AD75" s="41">
        <v>11</v>
      </c>
      <c r="AE75" s="41">
        <v>23</v>
      </c>
      <c r="AF75" s="41">
        <v>15</v>
      </c>
      <c r="AG75" s="41"/>
      <c r="AH75" s="41"/>
      <c r="AI75" s="41">
        <v>8</v>
      </c>
      <c r="AJ75" s="41"/>
      <c r="AK75" s="41"/>
      <c r="AL75" s="41"/>
      <c r="AM75" s="41"/>
      <c r="AN75" s="41">
        <v>16</v>
      </c>
      <c r="AO75" s="41"/>
      <c r="AP75" s="41">
        <v>14</v>
      </c>
      <c r="AQ75" s="41">
        <v>23</v>
      </c>
      <c r="AR75" s="41"/>
      <c r="AS75" s="41">
        <v>1</v>
      </c>
      <c r="AT75" s="41"/>
      <c r="AU75" s="41">
        <v>43</v>
      </c>
      <c r="AV75" s="41"/>
      <c r="AW75" s="41">
        <v>12</v>
      </c>
      <c r="AX75" s="41"/>
      <c r="AY75" s="41"/>
      <c r="AZ75" s="41"/>
      <c r="BA75" s="41"/>
      <c r="BB75" s="41">
        <v>9</v>
      </c>
      <c r="BC75" s="41"/>
    </row>
    <row r="76" spans="1:55" x14ac:dyDescent="0.2">
      <c r="A76" s="41">
        <v>152</v>
      </c>
      <c r="B76" s="41">
        <v>18</v>
      </c>
      <c r="C76" s="41">
        <v>8</v>
      </c>
      <c r="D76" s="41">
        <v>21</v>
      </c>
      <c r="E76" s="41">
        <v>34</v>
      </c>
      <c r="F76" s="41">
        <v>29</v>
      </c>
      <c r="G76" s="41">
        <v>15</v>
      </c>
      <c r="H76" s="41">
        <v>35</v>
      </c>
      <c r="I76" s="41">
        <v>22</v>
      </c>
      <c r="J76" s="41">
        <v>24</v>
      </c>
      <c r="K76" s="41">
        <v>21</v>
      </c>
      <c r="L76" s="41">
        <v>23</v>
      </c>
      <c r="M76" s="41">
        <v>18</v>
      </c>
      <c r="N76" s="41">
        <v>14</v>
      </c>
      <c r="O76" s="41">
        <v>10</v>
      </c>
      <c r="P76" s="41"/>
      <c r="Q76" s="41"/>
      <c r="R76" s="41">
        <v>2</v>
      </c>
      <c r="S76" s="41">
        <v>4</v>
      </c>
      <c r="T76" s="41"/>
      <c r="U76" s="41"/>
      <c r="V76" s="41">
        <v>12</v>
      </c>
      <c r="W76" s="41">
        <v>34</v>
      </c>
      <c r="X76" s="41">
        <v>24</v>
      </c>
      <c r="Y76" s="41">
        <v>21</v>
      </c>
      <c r="Z76" s="41"/>
      <c r="AA76" s="41"/>
      <c r="AB76" s="41"/>
      <c r="AC76" s="41">
        <v>4</v>
      </c>
      <c r="AD76" s="41">
        <v>10</v>
      </c>
      <c r="AE76" s="41">
        <v>17</v>
      </c>
      <c r="AF76" s="41">
        <v>17</v>
      </c>
      <c r="AG76" s="41"/>
      <c r="AH76" s="41"/>
      <c r="AI76" s="41">
        <v>8</v>
      </c>
      <c r="AJ76" s="41"/>
      <c r="AK76" s="41"/>
      <c r="AL76" s="41"/>
      <c r="AM76" s="41"/>
      <c r="AN76" s="41">
        <v>8</v>
      </c>
      <c r="AO76" s="41"/>
      <c r="AP76" s="41">
        <v>17</v>
      </c>
      <c r="AQ76" s="41">
        <v>24</v>
      </c>
      <c r="AR76" s="41"/>
      <c r="AS76" s="41">
        <v>2</v>
      </c>
      <c r="AT76" s="41"/>
      <c r="AU76" s="41">
        <v>43</v>
      </c>
      <c r="AV76" s="41"/>
      <c r="AW76" s="41">
        <v>13</v>
      </c>
      <c r="AX76" s="41"/>
      <c r="AY76" s="41"/>
      <c r="AZ76" s="41"/>
      <c r="BA76" s="41"/>
      <c r="BB76" s="41">
        <v>11</v>
      </c>
      <c r="BC76" s="41"/>
    </row>
    <row r="77" spans="1:55" x14ac:dyDescent="0.2">
      <c r="A77" s="41">
        <v>154</v>
      </c>
      <c r="B77" s="41">
        <v>18</v>
      </c>
      <c r="C77" s="41">
        <v>6</v>
      </c>
      <c r="D77" s="41">
        <v>20</v>
      </c>
      <c r="E77" s="41">
        <v>31</v>
      </c>
      <c r="F77" s="41">
        <v>24</v>
      </c>
      <c r="G77" s="41">
        <v>20</v>
      </c>
      <c r="H77" s="41">
        <v>38</v>
      </c>
      <c r="I77" s="41">
        <v>23</v>
      </c>
      <c r="J77" s="41">
        <v>21</v>
      </c>
      <c r="K77" s="41">
        <v>12</v>
      </c>
      <c r="L77" s="41">
        <v>23</v>
      </c>
      <c r="M77" s="41">
        <v>14</v>
      </c>
      <c r="N77" s="41">
        <v>14</v>
      </c>
      <c r="O77" s="41">
        <v>11</v>
      </c>
      <c r="P77" s="41"/>
      <c r="Q77" s="41"/>
      <c r="R77" s="41"/>
      <c r="S77" s="41">
        <v>3</v>
      </c>
      <c r="T77" s="41"/>
      <c r="U77" s="41"/>
      <c r="V77" s="41">
        <v>14</v>
      </c>
      <c r="W77" s="41">
        <v>32</v>
      </c>
      <c r="X77" s="41">
        <v>26</v>
      </c>
      <c r="Y77" s="41">
        <v>16</v>
      </c>
      <c r="Z77" s="41"/>
      <c r="AA77" s="41"/>
      <c r="AB77" s="41"/>
      <c r="AC77" s="41"/>
      <c r="AD77" s="41">
        <v>7</v>
      </c>
      <c r="AE77" s="41">
        <v>20</v>
      </c>
      <c r="AF77" s="41">
        <v>14</v>
      </c>
      <c r="AG77" s="41"/>
      <c r="AH77" s="41"/>
      <c r="AI77" s="41">
        <v>9</v>
      </c>
      <c r="AJ77" s="41"/>
      <c r="AK77" s="41"/>
      <c r="AL77" s="41"/>
      <c r="AM77" s="41"/>
      <c r="AN77" s="41">
        <v>3</v>
      </c>
      <c r="AO77" s="41"/>
      <c r="AP77" s="41">
        <v>13</v>
      </c>
      <c r="AQ77" s="41">
        <v>19</v>
      </c>
      <c r="AR77" s="41"/>
      <c r="AS77" s="41">
        <v>1</v>
      </c>
      <c r="AT77" s="41"/>
      <c r="AU77" s="41">
        <v>44</v>
      </c>
      <c r="AV77" s="41"/>
      <c r="AW77" s="41">
        <v>11</v>
      </c>
      <c r="AX77" s="41"/>
      <c r="AY77" s="41"/>
      <c r="AZ77" s="41"/>
      <c r="BA77" s="41"/>
      <c r="BB77" s="41">
        <v>9</v>
      </c>
      <c r="BC77" s="41"/>
    </row>
    <row r="78" spans="1:55" x14ac:dyDescent="0.2">
      <c r="A78" s="41">
        <v>156</v>
      </c>
      <c r="B78" s="41">
        <v>18</v>
      </c>
      <c r="C78" s="41">
        <v>5</v>
      </c>
      <c r="D78" s="41">
        <v>20</v>
      </c>
      <c r="E78" s="41">
        <v>28</v>
      </c>
      <c r="F78" s="41">
        <v>25</v>
      </c>
      <c r="G78" s="41">
        <v>20</v>
      </c>
      <c r="H78" s="41">
        <v>33</v>
      </c>
      <c r="I78" s="41">
        <v>22</v>
      </c>
      <c r="J78" s="41">
        <v>20</v>
      </c>
      <c r="K78" s="41">
        <v>13</v>
      </c>
      <c r="L78" s="41">
        <v>22</v>
      </c>
      <c r="M78" s="41">
        <v>20</v>
      </c>
      <c r="N78" s="41">
        <v>11</v>
      </c>
      <c r="O78" s="41">
        <v>13</v>
      </c>
      <c r="P78" s="41"/>
      <c r="Q78" s="41"/>
      <c r="R78" s="41"/>
      <c r="S78" s="41">
        <v>3</v>
      </c>
      <c r="T78" s="41"/>
      <c r="U78" s="41"/>
      <c r="V78" s="41">
        <v>14</v>
      </c>
      <c r="W78" s="41">
        <v>33</v>
      </c>
      <c r="X78" s="41">
        <v>28</v>
      </c>
      <c r="Y78" s="41">
        <v>19</v>
      </c>
      <c r="Z78" s="41"/>
      <c r="AA78" s="41"/>
      <c r="AB78" s="41"/>
      <c r="AC78" s="41"/>
      <c r="AD78" s="41">
        <v>4</v>
      </c>
      <c r="AE78" s="41">
        <v>22</v>
      </c>
      <c r="AF78" s="41">
        <v>13</v>
      </c>
      <c r="AG78" s="41"/>
      <c r="AH78" s="41"/>
      <c r="AI78" s="41">
        <v>9</v>
      </c>
      <c r="AJ78" s="41"/>
      <c r="AK78" s="41"/>
      <c r="AL78" s="41"/>
      <c r="AM78" s="41"/>
      <c r="AN78" s="41">
        <v>1</v>
      </c>
      <c r="AO78" s="41"/>
      <c r="AP78" s="41">
        <v>9</v>
      </c>
      <c r="AQ78" s="41">
        <v>18</v>
      </c>
      <c r="AR78" s="41"/>
      <c r="AS78" s="41"/>
      <c r="AT78" s="41"/>
      <c r="AU78" s="41">
        <v>43</v>
      </c>
      <c r="AV78" s="41"/>
      <c r="AW78" s="41">
        <v>10</v>
      </c>
      <c r="AX78" s="41"/>
      <c r="AY78" s="41"/>
      <c r="AZ78" s="41"/>
      <c r="BA78" s="41"/>
      <c r="BB78" s="41">
        <v>9</v>
      </c>
      <c r="BC78" s="41"/>
    </row>
    <row r="79" spans="1:55" x14ac:dyDescent="0.2">
      <c r="A79" s="41">
        <v>158</v>
      </c>
      <c r="B79" s="41">
        <v>18</v>
      </c>
      <c r="C79" s="41">
        <v>6</v>
      </c>
      <c r="D79" s="41">
        <v>23</v>
      </c>
      <c r="E79" s="41">
        <v>29</v>
      </c>
      <c r="F79" s="41">
        <v>24</v>
      </c>
      <c r="G79" s="41">
        <v>21</v>
      </c>
      <c r="H79" s="41">
        <v>31</v>
      </c>
      <c r="I79" s="41">
        <v>16</v>
      </c>
      <c r="J79" s="41">
        <v>20</v>
      </c>
      <c r="K79" s="41">
        <v>14</v>
      </c>
      <c r="L79" s="41">
        <v>21</v>
      </c>
      <c r="M79" s="41">
        <v>19</v>
      </c>
      <c r="N79" s="41">
        <v>12</v>
      </c>
      <c r="O79" s="41">
        <v>11</v>
      </c>
      <c r="P79" s="41"/>
      <c r="Q79" s="41"/>
      <c r="R79" s="41"/>
      <c r="S79" s="41">
        <v>3</v>
      </c>
      <c r="T79" s="41"/>
      <c r="U79" s="41"/>
      <c r="V79" s="41">
        <v>12</v>
      </c>
      <c r="W79" s="41">
        <v>31</v>
      </c>
      <c r="X79" s="41">
        <v>31</v>
      </c>
      <c r="Y79" s="41">
        <v>18</v>
      </c>
      <c r="Z79" s="41"/>
      <c r="AA79" s="41"/>
      <c r="AB79" s="41"/>
      <c r="AC79" s="41"/>
      <c r="AD79" s="41">
        <v>4</v>
      </c>
      <c r="AE79" s="41">
        <v>21</v>
      </c>
      <c r="AF79" s="41">
        <v>14</v>
      </c>
      <c r="AG79" s="41"/>
      <c r="AH79" s="41"/>
      <c r="AI79" s="41">
        <v>8</v>
      </c>
      <c r="AJ79" s="41"/>
      <c r="AK79" s="41"/>
      <c r="AL79" s="41"/>
      <c r="AM79" s="41"/>
      <c r="AN79" s="41">
        <v>2</v>
      </c>
      <c r="AO79" s="41"/>
      <c r="AP79" s="41">
        <v>7</v>
      </c>
      <c r="AQ79" s="41">
        <v>16</v>
      </c>
      <c r="AR79" s="41"/>
      <c r="AS79" s="41"/>
      <c r="AT79" s="41"/>
      <c r="AU79" s="41">
        <v>44</v>
      </c>
      <c r="AV79" s="41"/>
      <c r="AW79" s="41">
        <v>10</v>
      </c>
      <c r="AX79" s="41"/>
      <c r="AY79" s="41"/>
      <c r="AZ79" s="41"/>
      <c r="BA79" s="41"/>
      <c r="BB79" s="41">
        <v>8</v>
      </c>
      <c r="BC79" s="41"/>
    </row>
    <row r="80" spans="1:55" x14ac:dyDescent="0.2">
      <c r="A80" s="41">
        <v>160</v>
      </c>
      <c r="B80" s="41">
        <v>19</v>
      </c>
      <c r="C80" s="41">
        <v>4</v>
      </c>
      <c r="D80" s="41">
        <v>14</v>
      </c>
      <c r="E80" s="41">
        <v>26</v>
      </c>
      <c r="F80" s="41">
        <v>21</v>
      </c>
      <c r="G80" s="41">
        <v>17</v>
      </c>
      <c r="H80" s="41">
        <v>24</v>
      </c>
      <c r="I80" s="41">
        <v>18</v>
      </c>
      <c r="J80" s="41">
        <v>21</v>
      </c>
      <c r="K80" s="41">
        <v>10</v>
      </c>
      <c r="L80" s="41">
        <v>27</v>
      </c>
      <c r="M80" s="41">
        <v>20</v>
      </c>
      <c r="N80" s="41">
        <v>12</v>
      </c>
      <c r="O80" s="41">
        <v>9</v>
      </c>
      <c r="P80" s="41"/>
      <c r="Q80" s="41"/>
      <c r="R80" s="41"/>
      <c r="S80" s="41">
        <v>2</v>
      </c>
      <c r="T80" s="41"/>
      <c r="U80" s="41"/>
      <c r="V80" s="41">
        <v>12</v>
      </c>
      <c r="W80" s="41">
        <v>31</v>
      </c>
      <c r="X80" s="41">
        <v>29</v>
      </c>
      <c r="Y80" s="41">
        <v>13</v>
      </c>
      <c r="Z80" s="41"/>
      <c r="AA80" s="41"/>
      <c r="AB80" s="41"/>
      <c r="AC80" s="41"/>
      <c r="AD80" s="41">
        <v>2</v>
      </c>
      <c r="AE80" s="41">
        <v>18</v>
      </c>
      <c r="AF80" s="41">
        <v>14</v>
      </c>
      <c r="AG80" s="41"/>
      <c r="AH80" s="41"/>
      <c r="AI80" s="41">
        <v>6</v>
      </c>
      <c r="AJ80" s="41"/>
      <c r="AK80" s="41"/>
      <c r="AL80" s="41"/>
      <c r="AM80" s="41"/>
      <c r="AN80" s="41">
        <v>2</v>
      </c>
      <c r="AO80" s="41"/>
      <c r="AP80" s="41">
        <v>4</v>
      </c>
      <c r="AQ80" s="41">
        <v>16</v>
      </c>
      <c r="AR80" s="41"/>
      <c r="AS80" s="41"/>
      <c r="AT80" s="41"/>
      <c r="AU80" s="41">
        <v>43</v>
      </c>
      <c r="AV80" s="41"/>
      <c r="AW80" s="41">
        <v>10</v>
      </c>
      <c r="AX80" s="41"/>
      <c r="AY80" s="41"/>
      <c r="AZ80" s="41"/>
      <c r="BA80" s="41"/>
      <c r="BB80" s="41">
        <v>5</v>
      </c>
      <c r="BC80" s="41"/>
    </row>
    <row r="81" spans="1:55" x14ac:dyDescent="0.2">
      <c r="A81" s="41">
        <v>162</v>
      </c>
      <c r="B81" s="41">
        <v>21</v>
      </c>
      <c r="C81" s="41">
        <v>4</v>
      </c>
      <c r="D81" s="41">
        <v>15</v>
      </c>
      <c r="E81" s="41">
        <v>26</v>
      </c>
      <c r="F81" s="41">
        <v>23</v>
      </c>
      <c r="G81" s="41">
        <v>18</v>
      </c>
      <c r="H81" s="41">
        <v>22</v>
      </c>
      <c r="I81" s="41">
        <v>18</v>
      </c>
      <c r="J81" s="41">
        <v>20</v>
      </c>
      <c r="K81" s="41">
        <v>4</v>
      </c>
      <c r="L81" s="41">
        <v>19</v>
      </c>
      <c r="M81" s="41">
        <v>17</v>
      </c>
      <c r="N81" s="41">
        <v>12</v>
      </c>
      <c r="O81" s="41">
        <v>10</v>
      </c>
      <c r="P81" s="41"/>
      <c r="Q81" s="41"/>
      <c r="R81" s="41"/>
      <c r="S81" s="41">
        <v>1</v>
      </c>
      <c r="T81" s="41"/>
      <c r="U81" s="41"/>
      <c r="V81" s="41">
        <v>10</v>
      </c>
      <c r="W81" s="41">
        <v>24</v>
      </c>
      <c r="X81" s="41">
        <v>31</v>
      </c>
      <c r="Y81" s="41">
        <v>17</v>
      </c>
      <c r="Z81" s="41"/>
      <c r="AA81" s="41"/>
      <c r="AB81" s="41"/>
      <c r="AC81" s="41"/>
      <c r="AD81" s="41">
        <v>3</v>
      </c>
      <c r="AE81" s="41">
        <v>16</v>
      </c>
      <c r="AF81" s="41">
        <v>16</v>
      </c>
      <c r="AG81" s="41"/>
      <c r="AH81" s="41"/>
      <c r="AI81" s="41">
        <v>4</v>
      </c>
      <c r="AJ81" s="41"/>
      <c r="AK81" s="41"/>
      <c r="AL81" s="41"/>
      <c r="AM81" s="41"/>
      <c r="AN81" s="41"/>
      <c r="AO81" s="41"/>
      <c r="AP81" s="41">
        <v>5</v>
      </c>
      <c r="AQ81" s="41">
        <v>11</v>
      </c>
      <c r="AR81" s="41"/>
      <c r="AS81" s="41"/>
      <c r="AT81" s="41"/>
      <c r="AU81" s="41">
        <v>38</v>
      </c>
      <c r="AV81" s="41"/>
      <c r="AW81" s="41">
        <v>10</v>
      </c>
      <c r="AX81" s="41"/>
      <c r="AY81" s="41"/>
      <c r="AZ81" s="41"/>
      <c r="BA81" s="41"/>
      <c r="BB81" s="41">
        <v>4</v>
      </c>
      <c r="BC81" s="41"/>
    </row>
    <row r="82" spans="1:55" x14ac:dyDescent="0.2">
      <c r="A82" s="41">
        <v>164</v>
      </c>
      <c r="B82" s="41">
        <v>20</v>
      </c>
      <c r="C82" s="41">
        <v>3</v>
      </c>
      <c r="D82" s="41">
        <v>14</v>
      </c>
      <c r="E82" s="41">
        <v>28</v>
      </c>
      <c r="F82" s="41">
        <v>20</v>
      </c>
      <c r="G82" s="41">
        <v>17</v>
      </c>
      <c r="H82" s="41">
        <v>18</v>
      </c>
      <c r="I82" s="41">
        <v>18</v>
      </c>
      <c r="J82" s="41">
        <v>18</v>
      </c>
      <c r="K82" s="41">
        <v>3</v>
      </c>
      <c r="L82" s="41">
        <v>15</v>
      </c>
      <c r="M82" s="41">
        <v>22</v>
      </c>
      <c r="N82" s="41">
        <v>12</v>
      </c>
      <c r="O82" s="41">
        <v>11</v>
      </c>
      <c r="P82" s="41"/>
      <c r="Q82" s="41"/>
      <c r="R82" s="41"/>
      <c r="S82" s="41"/>
      <c r="T82" s="41"/>
      <c r="U82" s="41"/>
      <c r="V82" s="41">
        <v>8</v>
      </c>
      <c r="W82" s="41">
        <v>17</v>
      </c>
      <c r="X82" s="41">
        <v>32</v>
      </c>
      <c r="Y82" s="41">
        <v>19</v>
      </c>
      <c r="Z82" s="41"/>
      <c r="AA82" s="41"/>
      <c r="AB82" s="41"/>
      <c r="AC82" s="41"/>
      <c r="AD82" s="41">
        <v>1</v>
      </c>
      <c r="AE82" s="41">
        <v>17</v>
      </c>
      <c r="AF82" s="41">
        <v>15</v>
      </c>
      <c r="AG82" s="41"/>
      <c r="AH82" s="41"/>
      <c r="AI82" s="41">
        <v>4</v>
      </c>
      <c r="AJ82" s="41"/>
      <c r="AK82" s="41"/>
      <c r="AL82" s="41"/>
      <c r="AM82" s="41"/>
      <c r="AN82" s="41"/>
      <c r="AO82" s="41"/>
      <c r="AP82" s="41">
        <v>6</v>
      </c>
      <c r="AQ82" s="41">
        <v>10</v>
      </c>
      <c r="AR82" s="41"/>
      <c r="AS82" s="41"/>
      <c r="AT82" s="41"/>
      <c r="AU82" s="41">
        <v>30</v>
      </c>
      <c r="AV82" s="41"/>
      <c r="AW82" s="41">
        <v>10</v>
      </c>
      <c r="AX82" s="41"/>
      <c r="AY82" s="41"/>
      <c r="AZ82" s="41"/>
      <c r="BA82" s="41"/>
      <c r="BB82" s="41">
        <v>4</v>
      </c>
      <c r="BC82" s="41"/>
    </row>
    <row r="83" spans="1:55" x14ac:dyDescent="0.2">
      <c r="A83" s="41">
        <v>166</v>
      </c>
      <c r="B83" s="41">
        <v>20</v>
      </c>
      <c r="C83" s="41">
        <v>1</v>
      </c>
      <c r="D83" s="41">
        <v>13</v>
      </c>
      <c r="E83" s="41">
        <v>29</v>
      </c>
      <c r="F83" s="41">
        <v>23</v>
      </c>
      <c r="G83" s="41">
        <v>19</v>
      </c>
      <c r="H83" s="41">
        <v>17</v>
      </c>
      <c r="I83" s="41">
        <v>18</v>
      </c>
      <c r="J83" s="41">
        <v>18</v>
      </c>
      <c r="K83" s="41">
        <v>3</v>
      </c>
      <c r="L83" s="41">
        <v>14</v>
      </c>
      <c r="M83" s="41">
        <v>22</v>
      </c>
      <c r="N83" s="41">
        <v>12</v>
      </c>
      <c r="O83" s="41">
        <v>11</v>
      </c>
      <c r="P83" s="41"/>
      <c r="Q83" s="41"/>
      <c r="R83" s="41"/>
      <c r="S83" s="41"/>
      <c r="T83" s="41"/>
      <c r="U83" s="41"/>
      <c r="V83" s="41">
        <v>10</v>
      </c>
      <c r="W83" s="41">
        <v>19</v>
      </c>
      <c r="X83" s="41">
        <v>34</v>
      </c>
      <c r="Y83" s="41">
        <v>15</v>
      </c>
      <c r="Z83" s="41"/>
      <c r="AA83" s="41"/>
      <c r="AB83" s="41"/>
      <c r="AC83" s="41"/>
      <c r="AD83" s="41"/>
      <c r="AE83" s="41">
        <v>13</v>
      </c>
      <c r="AF83" s="41">
        <v>14</v>
      </c>
      <c r="AG83" s="41"/>
      <c r="AH83" s="41"/>
      <c r="AI83" s="41">
        <v>4</v>
      </c>
      <c r="AJ83" s="41"/>
      <c r="AK83" s="41"/>
      <c r="AL83" s="41"/>
      <c r="AM83" s="41"/>
      <c r="AN83" s="41"/>
      <c r="AO83" s="41"/>
      <c r="AP83" s="41">
        <v>3</v>
      </c>
      <c r="AQ83" s="41">
        <v>10</v>
      </c>
      <c r="AR83" s="41"/>
      <c r="AS83" s="41"/>
      <c r="AT83" s="41"/>
      <c r="AU83" s="41">
        <v>31</v>
      </c>
      <c r="AV83" s="41"/>
      <c r="AW83" s="41">
        <v>9</v>
      </c>
      <c r="AX83" s="41"/>
      <c r="AY83" s="41"/>
      <c r="AZ83" s="41"/>
      <c r="BA83" s="41"/>
      <c r="BB83" s="41">
        <v>3</v>
      </c>
      <c r="BC83" s="41"/>
    </row>
    <row r="84" spans="1:55" x14ac:dyDescent="0.2">
      <c r="A84" s="41">
        <v>168</v>
      </c>
      <c r="B84" s="41">
        <v>23</v>
      </c>
      <c r="C84" s="41">
        <v>1</v>
      </c>
      <c r="D84" s="41">
        <v>11</v>
      </c>
      <c r="E84" s="41">
        <v>28</v>
      </c>
      <c r="F84" s="41">
        <v>25</v>
      </c>
      <c r="G84" s="41">
        <v>19</v>
      </c>
      <c r="H84" s="41">
        <v>14</v>
      </c>
      <c r="I84" s="41">
        <v>15</v>
      </c>
      <c r="J84" s="41">
        <v>15</v>
      </c>
      <c r="K84" s="41">
        <v>2</v>
      </c>
      <c r="L84" s="41">
        <v>8</v>
      </c>
      <c r="M84" s="41">
        <v>21</v>
      </c>
      <c r="N84" s="41">
        <v>12</v>
      </c>
      <c r="O84" s="41">
        <v>11</v>
      </c>
      <c r="P84" s="41"/>
      <c r="Q84" s="41"/>
      <c r="R84" s="41"/>
      <c r="S84" s="41"/>
      <c r="T84" s="41"/>
      <c r="U84" s="41"/>
      <c r="V84" s="41">
        <v>9</v>
      </c>
      <c r="W84" s="41">
        <v>20</v>
      </c>
      <c r="X84" s="41">
        <v>34</v>
      </c>
      <c r="Y84" s="41">
        <v>9</v>
      </c>
      <c r="Z84" s="41"/>
      <c r="AA84" s="41"/>
      <c r="AB84" s="41"/>
      <c r="AC84" s="41"/>
      <c r="AD84" s="41"/>
      <c r="AE84" s="41">
        <v>15</v>
      </c>
      <c r="AF84" s="41">
        <v>16</v>
      </c>
      <c r="AG84" s="41"/>
      <c r="AH84" s="41"/>
      <c r="AI84" s="41">
        <v>3</v>
      </c>
      <c r="AJ84" s="41"/>
      <c r="AK84" s="41"/>
      <c r="AL84" s="41"/>
      <c r="AM84" s="41"/>
      <c r="AN84" s="41"/>
      <c r="AO84" s="41"/>
      <c r="AP84" s="41">
        <v>2</v>
      </c>
      <c r="AQ84" s="41">
        <v>10</v>
      </c>
      <c r="AR84" s="41"/>
      <c r="AS84" s="41"/>
      <c r="AT84" s="41"/>
      <c r="AU84" s="41">
        <v>31</v>
      </c>
      <c r="AV84" s="41"/>
      <c r="AW84" s="41">
        <v>9</v>
      </c>
      <c r="AX84" s="41"/>
      <c r="AY84" s="41"/>
      <c r="AZ84" s="41"/>
      <c r="BA84" s="41"/>
      <c r="BB84" s="41">
        <v>2</v>
      </c>
      <c r="BC84" s="41"/>
    </row>
    <row r="85" spans="1:55" x14ac:dyDescent="0.2">
      <c r="A85" s="41">
        <v>170</v>
      </c>
      <c r="B85" s="41">
        <v>26</v>
      </c>
      <c r="C85" s="41">
        <v>1</v>
      </c>
      <c r="D85" s="41">
        <v>8</v>
      </c>
      <c r="E85" s="41">
        <v>19</v>
      </c>
      <c r="F85" s="41">
        <v>20</v>
      </c>
      <c r="G85" s="41">
        <v>17</v>
      </c>
      <c r="H85" s="41">
        <v>9</v>
      </c>
      <c r="I85" s="41">
        <v>14</v>
      </c>
      <c r="J85" s="41">
        <v>15</v>
      </c>
      <c r="K85" s="41">
        <v>1</v>
      </c>
      <c r="L85" s="41">
        <v>10</v>
      </c>
      <c r="M85" s="41">
        <v>19</v>
      </c>
      <c r="N85" s="41">
        <v>11</v>
      </c>
      <c r="O85" s="41">
        <v>10</v>
      </c>
      <c r="P85" s="41"/>
      <c r="Q85" s="41"/>
      <c r="R85" s="41"/>
      <c r="S85" s="41"/>
      <c r="T85" s="41"/>
      <c r="U85" s="41"/>
      <c r="V85" s="41">
        <v>10</v>
      </c>
      <c r="W85" s="41">
        <v>19</v>
      </c>
      <c r="X85" s="41">
        <v>31</v>
      </c>
      <c r="Y85" s="41">
        <v>9</v>
      </c>
      <c r="Z85" s="41"/>
      <c r="AA85" s="41"/>
      <c r="AB85" s="41"/>
      <c r="AC85" s="41"/>
      <c r="AD85" s="41"/>
      <c r="AE85" s="41">
        <v>13</v>
      </c>
      <c r="AF85" s="41">
        <v>15</v>
      </c>
      <c r="AG85" s="41"/>
      <c r="AH85" s="41"/>
      <c r="AI85" s="41">
        <v>1</v>
      </c>
      <c r="AJ85" s="41"/>
      <c r="AK85" s="41"/>
      <c r="AL85" s="41"/>
      <c r="AM85" s="41"/>
      <c r="AN85" s="41"/>
      <c r="AO85" s="41"/>
      <c r="AP85" s="41">
        <v>2</v>
      </c>
      <c r="AQ85" s="41">
        <v>8</v>
      </c>
      <c r="AR85" s="41"/>
      <c r="AS85" s="41"/>
      <c r="AT85" s="41"/>
      <c r="AU85" s="41">
        <v>35</v>
      </c>
      <c r="AV85" s="41"/>
      <c r="AW85" s="41">
        <v>8</v>
      </c>
      <c r="AX85" s="41"/>
      <c r="AY85" s="41"/>
      <c r="AZ85" s="41"/>
      <c r="BA85" s="41"/>
      <c r="BB85" s="41">
        <v>1</v>
      </c>
      <c r="BC85" s="41"/>
    </row>
    <row r="86" spans="1:55" x14ac:dyDescent="0.2">
      <c r="A86" s="41">
        <v>172</v>
      </c>
      <c r="B86" s="41">
        <v>28</v>
      </c>
      <c r="C86" s="41">
        <v>1</v>
      </c>
      <c r="D86" s="41">
        <v>8</v>
      </c>
      <c r="E86" s="41">
        <v>10</v>
      </c>
      <c r="F86" s="41">
        <v>19</v>
      </c>
      <c r="G86" s="41">
        <v>20</v>
      </c>
      <c r="H86" s="41">
        <v>7</v>
      </c>
      <c r="I86" s="41">
        <v>12</v>
      </c>
      <c r="J86" s="41">
        <v>16</v>
      </c>
      <c r="K86" s="41"/>
      <c r="L86" s="41">
        <v>12</v>
      </c>
      <c r="M86" s="41">
        <v>20</v>
      </c>
      <c r="N86" s="41">
        <v>12</v>
      </c>
      <c r="O86" s="41">
        <v>10</v>
      </c>
      <c r="P86" s="41"/>
      <c r="Q86" s="41"/>
      <c r="R86" s="41"/>
      <c r="S86" s="41"/>
      <c r="T86" s="41"/>
      <c r="U86" s="41"/>
      <c r="V86" s="41">
        <v>9</v>
      </c>
      <c r="W86" s="41">
        <v>13</v>
      </c>
      <c r="X86" s="41">
        <v>30</v>
      </c>
      <c r="Y86" s="41">
        <v>7</v>
      </c>
      <c r="Z86" s="41"/>
      <c r="AA86" s="41"/>
      <c r="AB86" s="41"/>
      <c r="AC86" s="41"/>
      <c r="AD86" s="41"/>
      <c r="AE86" s="41">
        <v>9</v>
      </c>
      <c r="AF86" s="41">
        <v>19</v>
      </c>
      <c r="AG86" s="41"/>
      <c r="AH86" s="41"/>
      <c r="AI86" s="41"/>
      <c r="AJ86" s="41"/>
      <c r="AK86" s="41"/>
      <c r="AL86" s="41"/>
      <c r="AM86" s="41"/>
      <c r="AN86" s="41"/>
      <c r="AO86" s="41"/>
      <c r="AP86" s="41">
        <v>2</v>
      </c>
      <c r="AQ86" s="41">
        <v>9</v>
      </c>
      <c r="AR86" s="41"/>
      <c r="AS86" s="41"/>
      <c r="AT86" s="41"/>
      <c r="AU86" s="41">
        <v>31</v>
      </c>
      <c r="AV86" s="41"/>
      <c r="AW86" s="41">
        <v>9</v>
      </c>
      <c r="AX86" s="41"/>
      <c r="AY86" s="41"/>
      <c r="AZ86" s="41"/>
      <c r="BA86" s="41"/>
      <c r="BB86" s="41">
        <v>1</v>
      </c>
      <c r="BC86" s="41"/>
    </row>
    <row r="87" spans="1:55" x14ac:dyDescent="0.2">
      <c r="A87" s="41">
        <v>174</v>
      </c>
      <c r="B87" s="41">
        <v>24</v>
      </c>
      <c r="C87" s="41">
        <v>1</v>
      </c>
      <c r="D87" s="41">
        <v>8</v>
      </c>
      <c r="E87" s="41"/>
      <c r="F87" s="41">
        <v>16</v>
      </c>
      <c r="G87" s="41">
        <v>15</v>
      </c>
      <c r="H87" s="41">
        <v>4</v>
      </c>
      <c r="I87" s="41">
        <v>14</v>
      </c>
      <c r="J87" s="41">
        <v>14</v>
      </c>
      <c r="K87" s="41"/>
      <c r="L87" s="41">
        <v>13</v>
      </c>
      <c r="M87" s="41">
        <v>23</v>
      </c>
      <c r="N87" s="41">
        <v>12</v>
      </c>
      <c r="O87" s="41">
        <v>14</v>
      </c>
      <c r="P87" s="41"/>
      <c r="Q87" s="41"/>
      <c r="R87" s="41"/>
      <c r="S87" s="41"/>
      <c r="T87" s="41"/>
      <c r="U87" s="41"/>
      <c r="V87" s="41">
        <v>9</v>
      </c>
      <c r="W87" s="41">
        <v>11</v>
      </c>
      <c r="X87" s="41">
        <v>30</v>
      </c>
      <c r="Y87" s="41">
        <v>6</v>
      </c>
      <c r="Z87" s="41"/>
      <c r="AA87" s="41"/>
      <c r="AB87" s="41"/>
      <c r="AC87" s="41"/>
      <c r="AD87" s="41"/>
      <c r="AE87" s="41">
        <v>5</v>
      </c>
      <c r="AF87" s="41">
        <v>16</v>
      </c>
      <c r="AG87" s="41"/>
      <c r="AH87" s="41"/>
      <c r="AI87" s="41"/>
      <c r="AJ87" s="41"/>
      <c r="AK87" s="41"/>
      <c r="AL87" s="41"/>
      <c r="AM87" s="41"/>
      <c r="AN87" s="41"/>
      <c r="AO87" s="41"/>
      <c r="AP87" s="41">
        <v>2</v>
      </c>
      <c r="AQ87" s="41">
        <v>4</v>
      </c>
      <c r="AR87" s="41"/>
      <c r="AS87" s="41"/>
      <c r="AT87" s="41"/>
      <c r="AU87" s="41">
        <v>32</v>
      </c>
      <c r="AV87" s="41"/>
      <c r="AW87" s="41">
        <v>10</v>
      </c>
      <c r="AX87" s="41"/>
      <c r="AY87" s="41"/>
      <c r="AZ87" s="41"/>
      <c r="BA87" s="41"/>
      <c r="BB87" s="41">
        <v>1</v>
      </c>
      <c r="BC87" s="41"/>
    </row>
    <row r="88" spans="1:55" x14ac:dyDescent="0.2">
      <c r="A88" s="41">
        <v>176</v>
      </c>
      <c r="B88" s="41">
        <v>26</v>
      </c>
      <c r="C88" s="41">
        <v>1</v>
      </c>
      <c r="D88" s="41">
        <v>9</v>
      </c>
      <c r="E88" s="41"/>
      <c r="F88" s="41">
        <v>15</v>
      </c>
      <c r="G88" s="41">
        <v>16</v>
      </c>
      <c r="H88" s="41">
        <v>3</v>
      </c>
      <c r="I88" s="41">
        <v>8</v>
      </c>
      <c r="J88" s="41">
        <v>12</v>
      </c>
      <c r="K88" s="41"/>
      <c r="L88" s="41">
        <v>16</v>
      </c>
      <c r="M88" s="41">
        <v>16</v>
      </c>
      <c r="N88" s="41">
        <v>10</v>
      </c>
      <c r="O88" s="41">
        <v>10</v>
      </c>
      <c r="P88" s="41"/>
      <c r="Q88" s="41"/>
      <c r="R88" s="41"/>
      <c r="S88" s="41"/>
      <c r="T88" s="41"/>
      <c r="U88" s="41"/>
      <c r="V88" s="41">
        <v>4</v>
      </c>
      <c r="W88" s="41">
        <v>10</v>
      </c>
      <c r="X88" s="41">
        <v>26</v>
      </c>
      <c r="Y88" s="41">
        <v>5</v>
      </c>
      <c r="Z88" s="41"/>
      <c r="AA88" s="41"/>
      <c r="AB88" s="41"/>
      <c r="AC88" s="41"/>
      <c r="AD88" s="41"/>
      <c r="AE88" s="41">
        <v>6</v>
      </c>
      <c r="AF88" s="41">
        <v>15</v>
      </c>
      <c r="AG88" s="41"/>
      <c r="AH88" s="41"/>
      <c r="AI88" s="41"/>
      <c r="AJ88" s="41"/>
      <c r="AK88" s="41"/>
      <c r="AL88" s="41"/>
      <c r="AM88" s="41"/>
      <c r="AN88" s="41"/>
      <c r="AO88" s="41"/>
      <c r="AP88" s="41">
        <v>2</v>
      </c>
      <c r="AQ88" s="41">
        <v>4</v>
      </c>
      <c r="AR88" s="41"/>
      <c r="AS88" s="41"/>
      <c r="AT88" s="41"/>
      <c r="AU88" s="41">
        <v>33</v>
      </c>
      <c r="AV88" s="41"/>
      <c r="AW88" s="41">
        <v>11</v>
      </c>
      <c r="AX88" s="41"/>
      <c r="AY88" s="41"/>
      <c r="AZ88" s="41"/>
      <c r="BA88" s="41"/>
      <c r="BB88" s="41">
        <v>1</v>
      </c>
      <c r="BC88" s="41"/>
    </row>
    <row r="89" spans="1:55" x14ac:dyDescent="0.2">
      <c r="A89" s="41">
        <v>178</v>
      </c>
      <c r="B89" s="41">
        <v>23</v>
      </c>
      <c r="C89" s="41"/>
      <c r="D89" s="41">
        <v>8</v>
      </c>
      <c r="E89" s="41"/>
      <c r="F89" s="41">
        <v>19</v>
      </c>
      <c r="G89" s="41">
        <v>17</v>
      </c>
      <c r="H89" s="41">
        <v>1</v>
      </c>
      <c r="I89" s="41">
        <v>9</v>
      </c>
      <c r="J89" s="41">
        <v>13</v>
      </c>
      <c r="K89" s="41"/>
      <c r="L89" s="41">
        <v>16</v>
      </c>
      <c r="M89" s="41">
        <v>19</v>
      </c>
      <c r="N89" s="41">
        <v>13</v>
      </c>
      <c r="O89" s="41">
        <v>15</v>
      </c>
      <c r="P89" s="41"/>
      <c r="Q89" s="41"/>
      <c r="R89" s="41"/>
      <c r="S89" s="41"/>
      <c r="T89" s="41"/>
      <c r="U89" s="41"/>
      <c r="V89" s="41">
        <v>2</v>
      </c>
      <c r="W89" s="41">
        <v>11</v>
      </c>
      <c r="X89" s="41">
        <v>26</v>
      </c>
      <c r="Y89" s="41">
        <v>4</v>
      </c>
      <c r="Z89" s="41"/>
      <c r="AA89" s="41"/>
      <c r="AB89" s="41"/>
      <c r="AC89" s="41"/>
      <c r="AD89" s="41"/>
      <c r="AE89" s="41">
        <v>9</v>
      </c>
      <c r="AF89" s="41">
        <v>17</v>
      </c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>
        <v>1</v>
      </c>
      <c r="AR89" s="41"/>
      <c r="AS89" s="41"/>
      <c r="AT89" s="41"/>
      <c r="AU89" s="41">
        <v>30</v>
      </c>
      <c r="AV89" s="41"/>
      <c r="AW89" s="41">
        <v>10</v>
      </c>
      <c r="AX89" s="41"/>
      <c r="AY89" s="41"/>
      <c r="AZ89" s="41"/>
      <c r="BA89" s="41"/>
      <c r="BB89" s="41">
        <v>1</v>
      </c>
      <c r="BC89" s="41"/>
    </row>
    <row r="90" spans="1:55" x14ac:dyDescent="0.2">
      <c r="A90" s="41">
        <v>180</v>
      </c>
      <c r="B90" s="41">
        <v>25</v>
      </c>
      <c r="C90" s="41"/>
      <c r="D90" s="41">
        <v>9</v>
      </c>
      <c r="E90" s="41"/>
      <c r="F90" s="41">
        <v>14</v>
      </c>
      <c r="G90" s="41">
        <v>16</v>
      </c>
      <c r="H90" s="41"/>
      <c r="I90" s="41">
        <v>6</v>
      </c>
      <c r="J90" s="41">
        <v>12</v>
      </c>
      <c r="K90" s="41"/>
      <c r="L90" s="41">
        <v>16</v>
      </c>
      <c r="M90" s="41">
        <v>13</v>
      </c>
      <c r="N90" s="41">
        <v>15</v>
      </c>
      <c r="O90" s="41">
        <v>13</v>
      </c>
      <c r="P90" s="41"/>
      <c r="Q90" s="41"/>
      <c r="R90" s="41"/>
      <c r="S90" s="41"/>
      <c r="T90" s="41"/>
      <c r="U90" s="41"/>
      <c r="V90" s="41"/>
      <c r="W90" s="41">
        <v>11</v>
      </c>
      <c r="X90" s="41">
        <v>26</v>
      </c>
      <c r="Y90" s="41">
        <v>3</v>
      </c>
      <c r="Z90" s="41"/>
      <c r="AA90" s="41"/>
      <c r="AB90" s="41"/>
      <c r="AC90" s="41"/>
      <c r="AD90" s="41"/>
      <c r="AE90" s="41">
        <v>8</v>
      </c>
      <c r="AF90" s="41">
        <v>15</v>
      </c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>
        <v>31</v>
      </c>
      <c r="AV90" s="41"/>
      <c r="AW90" s="41">
        <v>5</v>
      </c>
      <c r="AX90" s="41"/>
      <c r="AY90" s="41"/>
      <c r="AZ90" s="41"/>
      <c r="BA90" s="41"/>
      <c r="BB90" s="41">
        <v>1</v>
      </c>
      <c r="BC90" s="41"/>
    </row>
    <row r="91" spans="1:55" x14ac:dyDescent="0.2">
      <c r="A91" s="41">
        <v>182</v>
      </c>
      <c r="B91" s="41">
        <v>23</v>
      </c>
      <c r="C91" s="41"/>
      <c r="D91" s="41">
        <v>6</v>
      </c>
      <c r="E91" s="41"/>
      <c r="F91" s="41">
        <v>13</v>
      </c>
      <c r="G91" s="41">
        <v>15</v>
      </c>
      <c r="H91" s="41"/>
      <c r="I91" s="41">
        <v>3</v>
      </c>
      <c r="J91" s="41">
        <v>15</v>
      </c>
      <c r="K91" s="41"/>
      <c r="L91" s="41">
        <v>15</v>
      </c>
      <c r="M91" s="41">
        <v>10</v>
      </c>
      <c r="N91" s="41">
        <v>18</v>
      </c>
      <c r="O91" s="41">
        <v>8</v>
      </c>
      <c r="P91" s="41"/>
      <c r="Q91" s="41"/>
      <c r="R91" s="41"/>
      <c r="S91" s="41"/>
      <c r="T91" s="41"/>
      <c r="U91" s="41"/>
      <c r="V91" s="41"/>
      <c r="W91" s="41">
        <v>9</v>
      </c>
      <c r="X91" s="41">
        <v>24</v>
      </c>
      <c r="Y91" s="41">
        <v>1</v>
      </c>
      <c r="Z91" s="41"/>
      <c r="AA91" s="41"/>
      <c r="AB91" s="41"/>
      <c r="AC91" s="41"/>
      <c r="AD91" s="41"/>
      <c r="AE91" s="41">
        <v>10</v>
      </c>
      <c r="AF91" s="41">
        <v>13</v>
      </c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>
        <v>33</v>
      </c>
      <c r="AV91" s="41"/>
      <c r="AW91" s="41">
        <v>5</v>
      </c>
      <c r="AX91" s="41"/>
      <c r="AY91" s="41"/>
      <c r="AZ91" s="41"/>
      <c r="BA91" s="41"/>
      <c r="BB91" s="41"/>
      <c r="BC91" s="41"/>
    </row>
    <row r="92" spans="1:55" x14ac:dyDescent="0.2">
      <c r="A92" s="41">
        <v>184</v>
      </c>
      <c r="B92" s="41">
        <v>23</v>
      </c>
      <c r="C92" s="41"/>
      <c r="D92" s="41">
        <v>8</v>
      </c>
      <c r="E92" s="41"/>
      <c r="F92" s="41">
        <v>16</v>
      </c>
      <c r="G92" s="41">
        <v>15</v>
      </c>
      <c r="H92" s="41"/>
      <c r="I92" s="41">
        <v>1</v>
      </c>
      <c r="J92" s="41">
        <v>11</v>
      </c>
      <c r="K92" s="41"/>
      <c r="L92" s="41">
        <v>19</v>
      </c>
      <c r="M92" s="41">
        <v>13</v>
      </c>
      <c r="N92" s="41">
        <v>18</v>
      </c>
      <c r="O92" s="41">
        <v>10</v>
      </c>
      <c r="P92" s="41"/>
      <c r="Q92" s="41"/>
      <c r="R92" s="41"/>
      <c r="S92" s="41"/>
      <c r="T92" s="41"/>
      <c r="U92" s="41"/>
      <c r="V92" s="41"/>
      <c r="W92" s="41">
        <v>7</v>
      </c>
      <c r="X92" s="41">
        <v>25</v>
      </c>
      <c r="Y92" s="41">
        <v>1</v>
      </c>
      <c r="Z92" s="41"/>
      <c r="AA92" s="41"/>
      <c r="AB92" s="41"/>
      <c r="AC92" s="41"/>
      <c r="AD92" s="41"/>
      <c r="AE92" s="41">
        <v>8</v>
      </c>
      <c r="AF92" s="41">
        <v>16</v>
      </c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>
        <v>31</v>
      </c>
      <c r="AV92" s="41"/>
      <c r="AW92" s="41">
        <v>8</v>
      </c>
      <c r="AX92" s="41"/>
      <c r="AY92" s="41"/>
      <c r="AZ92" s="41"/>
      <c r="BA92" s="41"/>
      <c r="BB92" s="41"/>
      <c r="BC92" s="41"/>
    </row>
    <row r="93" spans="1:55" x14ac:dyDescent="0.2">
      <c r="A93" s="41">
        <v>186</v>
      </c>
      <c r="B93" s="41">
        <v>27</v>
      </c>
      <c r="C93" s="41"/>
      <c r="D93" s="41">
        <v>6</v>
      </c>
      <c r="E93" s="41"/>
      <c r="F93" s="41">
        <v>20</v>
      </c>
      <c r="G93" s="41">
        <v>14</v>
      </c>
      <c r="H93" s="41"/>
      <c r="I93" s="41">
        <v>1</v>
      </c>
      <c r="J93" s="41">
        <v>12</v>
      </c>
      <c r="K93" s="41"/>
      <c r="L93" s="41">
        <v>15</v>
      </c>
      <c r="M93" s="41">
        <v>11</v>
      </c>
      <c r="N93" s="41">
        <v>14</v>
      </c>
      <c r="O93" s="41">
        <v>7</v>
      </c>
      <c r="P93" s="41"/>
      <c r="Q93" s="41"/>
      <c r="R93" s="41"/>
      <c r="S93" s="41"/>
      <c r="T93" s="41"/>
      <c r="U93" s="41"/>
      <c r="V93" s="41"/>
      <c r="W93" s="41">
        <v>8</v>
      </c>
      <c r="X93" s="41">
        <v>26</v>
      </c>
      <c r="Y93" s="41"/>
      <c r="Z93" s="41"/>
      <c r="AA93" s="41"/>
      <c r="AB93" s="41"/>
      <c r="AC93" s="41"/>
      <c r="AD93" s="41"/>
      <c r="AE93" s="41">
        <v>8</v>
      </c>
      <c r="AF93" s="41">
        <v>16</v>
      </c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>
        <v>35</v>
      </c>
      <c r="AV93" s="41"/>
      <c r="AW93" s="41">
        <v>8</v>
      </c>
      <c r="AX93" s="41"/>
      <c r="AY93" s="41"/>
      <c r="AZ93" s="41"/>
      <c r="BA93" s="41"/>
      <c r="BB93" s="41"/>
      <c r="BC93" s="41"/>
    </row>
    <row r="94" spans="1:55" x14ac:dyDescent="0.2">
      <c r="A94" s="41">
        <v>188</v>
      </c>
      <c r="B94" s="41">
        <v>24</v>
      </c>
      <c r="C94" s="41"/>
      <c r="D94" s="41">
        <v>6</v>
      </c>
      <c r="E94" s="41"/>
      <c r="F94" s="41">
        <v>18</v>
      </c>
      <c r="G94" s="41">
        <v>14</v>
      </c>
      <c r="H94" s="41"/>
      <c r="I94" s="41">
        <v>1</v>
      </c>
      <c r="J94" s="41">
        <v>12</v>
      </c>
      <c r="K94" s="41"/>
      <c r="L94" s="41">
        <v>14</v>
      </c>
      <c r="M94" s="41">
        <v>10</v>
      </c>
      <c r="N94" s="41">
        <v>16</v>
      </c>
      <c r="O94" s="41">
        <v>6</v>
      </c>
      <c r="P94" s="41"/>
      <c r="Q94" s="41"/>
      <c r="R94" s="41"/>
      <c r="S94" s="41"/>
      <c r="T94" s="41"/>
      <c r="U94" s="41"/>
      <c r="V94" s="41"/>
      <c r="W94" s="41">
        <v>8</v>
      </c>
      <c r="X94" s="41">
        <v>27</v>
      </c>
      <c r="Y94" s="41"/>
      <c r="Z94" s="41"/>
      <c r="AA94" s="41"/>
      <c r="AB94" s="41"/>
      <c r="AC94" s="41"/>
      <c r="AD94" s="41"/>
      <c r="AE94" s="41">
        <v>5</v>
      </c>
      <c r="AF94" s="41">
        <v>14</v>
      </c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>
        <v>32</v>
      </c>
      <c r="AV94" s="41"/>
      <c r="AW94" s="41">
        <v>5</v>
      </c>
      <c r="AX94" s="41"/>
      <c r="AY94" s="41"/>
      <c r="AZ94" s="41"/>
      <c r="BA94" s="41"/>
      <c r="BB94" s="41"/>
      <c r="BC94" s="41"/>
    </row>
    <row r="95" spans="1:55" x14ac:dyDescent="0.2">
      <c r="A95" s="41">
        <v>190</v>
      </c>
      <c r="B95" s="41">
        <v>22</v>
      </c>
      <c r="C95" s="41"/>
      <c r="D95" s="41">
        <v>5</v>
      </c>
      <c r="E95" s="41"/>
      <c r="F95" s="41">
        <v>17</v>
      </c>
      <c r="G95" s="41">
        <v>12</v>
      </c>
      <c r="H95" s="41"/>
      <c r="I95" s="41"/>
      <c r="J95" s="41">
        <v>11</v>
      </c>
      <c r="K95" s="41"/>
      <c r="L95" s="41">
        <v>12</v>
      </c>
      <c r="M95" s="41">
        <v>9</v>
      </c>
      <c r="N95" s="41">
        <v>15</v>
      </c>
      <c r="O95" s="41">
        <v>6</v>
      </c>
      <c r="P95" s="41"/>
      <c r="Q95" s="41"/>
      <c r="R95" s="41"/>
      <c r="S95" s="41"/>
      <c r="T95" s="41"/>
      <c r="U95" s="41"/>
      <c r="V95" s="41"/>
      <c r="W95" s="41">
        <v>7</v>
      </c>
      <c r="X95" s="41">
        <v>27</v>
      </c>
      <c r="Y95" s="41"/>
      <c r="Z95" s="41"/>
      <c r="AA95" s="41"/>
      <c r="AB95" s="41"/>
      <c r="AC95" s="41"/>
      <c r="AD95" s="41"/>
      <c r="AE95" s="41">
        <v>7</v>
      </c>
      <c r="AF95" s="41">
        <v>14</v>
      </c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>
        <v>32</v>
      </c>
      <c r="AV95" s="41"/>
      <c r="AW95" s="41">
        <v>6</v>
      </c>
      <c r="AX95" s="41"/>
      <c r="AY95" s="41"/>
      <c r="AZ95" s="41"/>
      <c r="BA95" s="41"/>
      <c r="BB95" s="41"/>
      <c r="BC95" s="41"/>
    </row>
    <row r="96" spans="1:55" x14ac:dyDescent="0.2">
      <c r="A96" s="41">
        <v>192</v>
      </c>
      <c r="B96" s="41">
        <v>24</v>
      </c>
      <c r="C96" s="41"/>
      <c r="D96" s="41">
        <v>2</v>
      </c>
      <c r="E96" s="41"/>
      <c r="F96" s="41">
        <v>16</v>
      </c>
      <c r="G96" s="41">
        <v>16</v>
      </c>
      <c r="H96" s="41"/>
      <c r="I96" s="41"/>
      <c r="J96" s="41">
        <v>13</v>
      </c>
      <c r="K96" s="41"/>
      <c r="L96" s="41">
        <v>8</v>
      </c>
      <c r="M96" s="41">
        <v>7</v>
      </c>
      <c r="N96" s="41">
        <v>13</v>
      </c>
      <c r="O96" s="41">
        <v>7</v>
      </c>
      <c r="P96" s="41"/>
      <c r="Q96" s="41"/>
      <c r="R96" s="41"/>
      <c r="S96" s="41"/>
      <c r="T96" s="41"/>
      <c r="U96" s="41"/>
      <c r="V96" s="41"/>
      <c r="W96" s="41">
        <v>5</v>
      </c>
      <c r="X96" s="41">
        <v>23</v>
      </c>
      <c r="Y96" s="41"/>
      <c r="Z96" s="41"/>
      <c r="AA96" s="41"/>
      <c r="AB96" s="41"/>
      <c r="AC96" s="41"/>
      <c r="AD96" s="41"/>
      <c r="AE96" s="41">
        <v>8</v>
      </c>
      <c r="AF96" s="41">
        <v>9</v>
      </c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>
        <v>32</v>
      </c>
      <c r="AV96" s="41"/>
      <c r="AW96" s="41">
        <v>5</v>
      </c>
      <c r="AX96" s="41"/>
      <c r="AY96" s="41"/>
      <c r="AZ96" s="41"/>
      <c r="BA96" s="41"/>
      <c r="BB96" s="41"/>
      <c r="BC96" s="41"/>
    </row>
    <row r="97" spans="1:55" x14ac:dyDescent="0.2">
      <c r="A97" s="41">
        <v>194</v>
      </c>
      <c r="B97" s="41">
        <v>27</v>
      </c>
      <c r="C97" s="41"/>
      <c r="D97" s="41">
        <v>4</v>
      </c>
      <c r="E97" s="41"/>
      <c r="F97" s="41">
        <v>12</v>
      </c>
      <c r="G97" s="41">
        <v>11</v>
      </c>
      <c r="H97" s="41"/>
      <c r="I97" s="41"/>
      <c r="J97" s="41">
        <v>12</v>
      </c>
      <c r="K97" s="41"/>
      <c r="L97" s="41">
        <v>8</v>
      </c>
      <c r="M97" s="41">
        <v>4</v>
      </c>
      <c r="N97" s="41">
        <v>13</v>
      </c>
      <c r="O97" s="41">
        <v>6</v>
      </c>
      <c r="P97" s="41"/>
      <c r="Q97" s="41"/>
      <c r="R97" s="41"/>
      <c r="S97" s="41"/>
      <c r="T97" s="41"/>
      <c r="U97" s="41"/>
      <c r="V97" s="41"/>
      <c r="W97" s="41">
        <v>3</v>
      </c>
      <c r="X97" s="41">
        <v>19</v>
      </c>
      <c r="Y97" s="41"/>
      <c r="Z97" s="41"/>
      <c r="AA97" s="41"/>
      <c r="AB97" s="41"/>
      <c r="AC97" s="41"/>
      <c r="AD97" s="41"/>
      <c r="AE97" s="41">
        <v>8</v>
      </c>
      <c r="AF97" s="41">
        <v>10</v>
      </c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>
        <v>29</v>
      </c>
      <c r="AV97" s="41"/>
      <c r="AW97" s="41">
        <v>8</v>
      </c>
      <c r="AX97" s="41"/>
      <c r="AY97" s="41"/>
      <c r="AZ97" s="41"/>
      <c r="BA97" s="41"/>
      <c r="BB97" s="41"/>
      <c r="BC97" s="41"/>
    </row>
    <row r="98" spans="1:55" x14ac:dyDescent="0.2">
      <c r="A98" s="41">
        <v>196</v>
      </c>
      <c r="B98" s="41">
        <v>24</v>
      </c>
      <c r="C98" s="41"/>
      <c r="D98" s="41">
        <v>1</v>
      </c>
      <c r="E98" s="41"/>
      <c r="F98" s="41">
        <v>14</v>
      </c>
      <c r="G98" s="41">
        <v>13</v>
      </c>
      <c r="H98" s="41"/>
      <c r="I98" s="41"/>
      <c r="J98" s="41">
        <v>11</v>
      </c>
      <c r="K98" s="41"/>
      <c r="L98" s="41">
        <v>7</v>
      </c>
      <c r="M98" s="41">
        <v>4</v>
      </c>
      <c r="N98" s="41">
        <v>10</v>
      </c>
      <c r="O98" s="41">
        <v>9</v>
      </c>
      <c r="P98" s="41"/>
      <c r="Q98" s="41"/>
      <c r="R98" s="41"/>
      <c r="S98" s="41"/>
      <c r="T98" s="41"/>
      <c r="U98" s="41"/>
      <c r="V98" s="41"/>
      <c r="W98" s="41">
        <v>5</v>
      </c>
      <c r="X98" s="41">
        <v>21</v>
      </c>
      <c r="Y98" s="41"/>
      <c r="Z98" s="41"/>
      <c r="AA98" s="41"/>
      <c r="AB98" s="41"/>
      <c r="AC98" s="41"/>
      <c r="AD98" s="41"/>
      <c r="AE98" s="41">
        <v>5</v>
      </c>
      <c r="AF98" s="41">
        <v>7</v>
      </c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>
        <v>31</v>
      </c>
      <c r="AV98" s="41"/>
      <c r="AW98" s="41">
        <v>6</v>
      </c>
      <c r="AX98" s="41"/>
      <c r="AY98" s="41"/>
      <c r="AZ98" s="41"/>
      <c r="BA98" s="41"/>
      <c r="BB98" s="41"/>
      <c r="BC98" s="41"/>
    </row>
    <row r="99" spans="1:55" x14ac:dyDescent="0.2">
      <c r="A99" s="41">
        <v>198</v>
      </c>
      <c r="B99" s="41">
        <v>22</v>
      </c>
      <c r="C99" s="41"/>
      <c r="D99" s="41">
        <v>1</v>
      </c>
      <c r="E99" s="41"/>
      <c r="F99" s="41">
        <v>15</v>
      </c>
      <c r="G99" s="41">
        <v>13</v>
      </c>
      <c r="H99" s="41"/>
      <c r="I99" s="41"/>
      <c r="J99" s="41">
        <v>11</v>
      </c>
      <c r="K99" s="41"/>
      <c r="L99" s="41">
        <v>7</v>
      </c>
      <c r="M99" s="41">
        <v>3</v>
      </c>
      <c r="N99" s="41">
        <v>11</v>
      </c>
      <c r="O99" s="41">
        <v>8</v>
      </c>
      <c r="P99" s="41"/>
      <c r="Q99" s="41"/>
      <c r="R99" s="41"/>
      <c r="S99" s="41"/>
      <c r="T99" s="41"/>
      <c r="U99" s="41"/>
      <c r="V99" s="41"/>
      <c r="W99" s="41">
        <v>1</v>
      </c>
      <c r="X99" s="41">
        <v>19</v>
      </c>
      <c r="Y99" s="41"/>
      <c r="Z99" s="41"/>
      <c r="AA99" s="41"/>
      <c r="AB99" s="41"/>
      <c r="AC99" s="41"/>
      <c r="AD99" s="41"/>
      <c r="AE99" s="41">
        <v>4</v>
      </c>
      <c r="AF99" s="41">
        <v>6</v>
      </c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>
        <v>26</v>
      </c>
      <c r="AV99" s="41"/>
      <c r="AW99" s="41">
        <v>7</v>
      </c>
      <c r="AX99" s="41"/>
      <c r="AY99" s="41"/>
      <c r="AZ99" s="41"/>
      <c r="BA99" s="41"/>
      <c r="BB99" s="41"/>
      <c r="BC99" s="41"/>
    </row>
    <row r="100" spans="1:55" x14ac:dyDescent="0.2">
      <c r="A100" s="41">
        <v>200</v>
      </c>
      <c r="B100" s="41">
        <v>25</v>
      </c>
      <c r="C100" s="41"/>
      <c r="D100" s="41"/>
      <c r="E100" s="41"/>
      <c r="F100" s="41">
        <v>16</v>
      </c>
      <c r="G100" s="41">
        <v>12</v>
      </c>
      <c r="H100" s="41"/>
      <c r="I100" s="41"/>
      <c r="J100" s="41">
        <v>14</v>
      </c>
      <c r="K100" s="41"/>
      <c r="L100" s="41">
        <v>6</v>
      </c>
      <c r="M100" s="41">
        <v>1</v>
      </c>
      <c r="N100" s="41">
        <v>8</v>
      </c>
      <c r="O100" s="41">
        <v>8</v>
      </c>
      <c r="P100" s="41"/>
      <c r="Q100" s="41"/>
      <c r="R100" s="41"/>
      <c r="S100" s="41"/>
      <c r="T100" s="41"/>
      <c r="U100" s="41"/>
      <c r="V100" s="41"/>
      <c r="W100" s="41"/>
      <c r="X100" s="41">
        <v>18</v>
      </c>
      <c r="Y100" s="41"/>
      <c r="Z100" s="41"/>
      <c r="AA100" s="41"/>
      <c r="AB100" s="41"/>
      <c r="AC100" s="41"/>
      <c r="AD100" s="41"/>
      <c r="AE100" s="41">
        <v>5</v>
      </c>
      <c r="AF100" s="41">
        <v>7</v>
      </c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>
        <v>26</v>
      </c>
      <c r="AV100" s="41"/>
      <c r="AW100" s="41">
        <v>7</v>
      </c>
      <c r="AX100" s="41"/>
      <c r="AY100" s="41"/>
      <c r="AZ100" s="41"/>
      <c r="BA100" s="41"/>
      <c r="BB100" s="41"/>
      <c r="BC100" s="41"/>
    </row>
    <row r="101" spans="1:55" x14ac:dyDescent="0.2">
      <c r="A101" s="41">
        <v>202</v>
      </c>
      <c r="B101" s="41">
        <v>20</v>
      </c>
      <c r="C101" s="41"/>
      <c r="D101" s="41"/>
      <c r="E101" s="41"/>
      <c r="F101" s="41">
        <v>14</v>
      </c>
      <c r="G101" s="41">
        <v>11</v>
      </c>
      <c r="H101" s="41"/>
      <c r="I101" s="41"/>
      <c r="J101" s="41">
        <v>15</v>
      </c>
      <c r="K101" s="41"/>
      <c r="L101" s="41">
        <v>6</v>
      </c>
      <c r="M101" s="41"/>
      <c r="N101" s="41">
        <v>10</v>
      </c>
      <c r="O101" s="41">
        <v>9</v>
      </c>
      <c r="P101" s="41"/>
      <c r="Q101" s="41"/>
      <c r="R101" s="41"/>
      <c r="S101" s="41"/>
      <c r="T101" s="41"/>
      <c r="U101" s="41"/>
      <c r="V101" s="41"/>
      <c r="W101" s="41"/>
      <c r="X101" s="41">
        <v>21</v>
      </c>
      <c r="Y101" s="41"/>
      <c r="Z101" s="41"/>
      <c r="AA101" s="41"/>
      <c r="AB101" s="41"/>
      <c r="AC101" s="41"/>
      <c r="AD101" s="41"/>
      <c r="AE101" s="41">
        <v>5</v>
      </c>
      <c r="AF101" s="41">
        <v>4</v>
      </c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>
        <v>28</v>
      </c>
      <c r="AV101" s="41"/>
      <c r="AW101" s="41">
        <v>5</v>
      </c>
      <c r="AX101" s="41"/>
      <c r="AY101" s="41"/>
      <c r="AZ101" s="41"/>
      <c r="BA101" s="41"/>
      <c r="BB101" s="41"/>
      <c r="BC101" s="41"/>
    </row>
    <row r="102" spans="1:55" x14ac:dyDescent="0.2">
      <c r="A102" s="41">
        <v>204</v>
      </c>
      <c r="B102" s="41">
        <v>22</v>
      </c>
      <c r="C102" s="41"/>
      <c r="D102" s="41"/>
      <c r="E102" s="41"/>
      <c r="F102" s="41">
        <v>13</v>
      </c>
      <c r="G102" s="41">
        <v>9</v>
      </c>
      <c r="H102" s="41"/>
      <c r="I102" s="41"/>
      <c r="J102" s="41">
        <v>19</v>
      </c>
      <c r="K102" s="41"/>
      <c r="L102" s="41">
        <v>5</v>
      </c>
      <c r="M102" s="41"/>
      <c r="N102" s="41">
        <v>8</v>
      </c>
      <c r="O102" s="41">
        <v>9</v>
      </c>
      <c r="P102" s="41"/>
      <c r="Q102" s="41"/>
      <c r="R102" s="41"/>
      <c r="S102" s="41"/>
      <c r="T102" s="41"/>
      <c r="U102" s="41"/>
      <c r="V102" s="41"/>
      <c r="W102" s="41"/>
      <c r="X102" s="41">
        <v>18</v>
      </c>
      <c r="Y102" s="41"/>
      <c r="Z102" s="41"/>
      <c r="AA102" s="41"/>
      <c r="AB102" s="41"/>
      <c r="AC102" s="41"/>
      <c r="AD102" s="41"/>
      <c r="AE102" s="41">
        <v>6</v>
      </c>
      <c r="AF102" s="41">
        <v>2</v>
      </c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>
        <v>25</v>
      </c>
      <c r="AV102" s="41"/>
      <c r="AW102" s="41">
        <v>6</v>
      </c>
      <c r="AX102" s="41"/>
      <c r="AY102" s="41"/>
      <c r="AZ102" s="41"/>
      <c r="BA102" s="41"/>
      <c r="BB102" s="41"/>
      <c r="BC102" s="41"/>
    </row>
    <row r="103" spans="1:55" x14ac:dyDescent="0.2">
      <c r="A103" s="41">
        <v>206</v>
      </c>
      <c r="B103" s="41">
        <v>19</v>
      </c>
      <c r="C103" s="41"/>
      <c r="D103" s="41"/>
      <c r="E103" s="41"/>
      <c r="F103" s="41">
        <v>10</v>
      </c>
      <c r="G103" s="41">
        <v>13</v>
      </c>
      <c r="H103" s="41"/>
      <c r="I103" s="41"/>
      <c r="J103" s="41">
        <v>18</v>
      </c>
      <c r="K103" s="41"/>
      <c r="L103" s="41">
        <v>6</v>
      </c>
      <c r="M103" s="41"/>
      <c r="N103" s="41">
        <v>10</v>
      </c>
      <c r="O103" s="41">
        <v>8</v>
      </c>
      <c r="P103" s="41"/>
      <c r="Q103" s="41"/>
      <c r="R103" s="41"/>
      <c r="S103" s="41"/>
      <c r="T103" s="41"/>
      <c r="U103" s="41"/>
      <c r="V103" s="41"/>
      <c r="W103" s="41"/>
      <c r="X103" s="41">
        <v>15</v>
      </c>
      <c r="Y103" s="41"/>
      <c r="Z103" s="41"/>
      <c r="AA103" s="41"/>
      <c r="AB103" s="41"/>
      <c r="AC103" s="41"/>
      <c r="AD103" s="41"/>
      <c r="AE103" s="41">
        <v>5</v>
      </c>
      <c r="AF103" s="41">
        <v>1</v>
      </c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>
        <v>27</v>
      </c>
      <c r="AV103" s="41"/>
      <c r="AW103" s="41">
        <v>5</v>
      </c>
      <c r="AX103" s="41"/>
      <c r="AY103" s="41"/>
      <c r="AZ103" s="41"/>
      <c r="BA103" s="41"/>
      <c r="BB103" s="41"/>
      <c r="BC103" s="41"/>
    </row>
    <row r="104" spans="1:55" x14ac:dyDescent="0.2">
      <c r="A104" s="41">
        <v>208</v>
      </c>
      <c r="B104" s="41">
        <v>22</v>
      </c>
      <c r="C104" s="41"/>
      <c r="D104" s="41"/>
      <c r="E104" s="41"/>
      <c r="F104" s="41">
        <v>10</v>
      </c>
      <c r="G104" s="41">
        <v>11</v>
      </c>
      <c r="H104" s="41"/>
      <c r="I104" s="41"/>
      <c r="J104" s="41">
        <v>20</v>
      </c>
      <c r="K104" s="41"/>
      <c r="L104" s="41">
        <v>5</v>
      </c>
      <c r="M104" s="41"/>
      <c r="N104" s="41">
        <v>5</v>
      </c>
      <c r="O104" s="41">
        <v>8</v>
      </c>
      <c r="P104" s="41"/>
      <c r="Q104" s="41"/>
      <c r="R104" s="41"/>
      <c r="S104" s="41"/>
      <c r="T104" s="41"/>
      <c r="U104" s="41"/>
      <c r="V104" s="41"/>
      <c r="W104" s="41"/>
      <c r="X104" s="41">
        <v>16</v>
      </c>
      <c r="Y104" s="41"/>
      <c r="Z104" s="41"/>
      <c r="AA104" s="41"/>
      <c r="AB104" s="41"/>
      <c r="AC104" s="41"/>
      <c r="AD104" s="41"/>
      <c r="AE104" s="41">
        <v>4</v>
      </c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>
        <v>25</v>
      </c>
      <c r="AV104" s="41"/>
      <c r="AW104" s="41">
        <v>4</v>
      </c>
      <c r="AX104" s="41"/>
      <c r="AY104" s="41"/>
      <c r="AZ104" s="41"/>
      <c r="BA104" s="41"/>
      <c r="BB104" s="41"/>
      <c r="BC104" s="41"/>
    </row>
    <row r="105" spans="1:55" x14ac:dyDescent="0.2">
      <c r="A105" s="41">
        <v>210</v>
      </c>
      <c r="B105" s="41">
        <v>23</v>
      </c>
      <c r="C105" s="41"/>
      <c r="D105" s="41"/>
      <c r="E105" s="41"/>
      <c r="F105" s="41">
        <v>9</v>
      </c>
      <c r="G105" s="41">
        <v>11</v>
      </c>
      <c r="H105" s="41"/>
      <c r="I105" s="41"/>
      <c r="J105" s="41">
        <v>20</v>
      </c>
      <c r="K105" s="41"/>
      <c r="L105" s="41">
        <v>4</v>
      </c>
      <c r="M105" s="41"/>
      <c r="N105" s="41">
        <v>5</v>
      </c>
      <c r="O105" s="41">
        <v>4</v>
      </c>
      <c r="P105" s="41"/>
      <c r="Q105" s="41"/>
      <c r="R105" s="41"/>
      <c r="S105" s="41"/>
      <c r="T105" s="41"/>
      <c r="U105" s="41"/>
      <c r="V105" s="41"/>
      <c r="W105" s="41"/>
      <c r="X105" s="41">
        <v>16</v>
      </c>
      <c r="Y105" s="41"/>
      <c r="Z105" s="41"/>
      <c r="AA105" s="41"/>
      <c r="AB105" s="41"/>
      <c r="AC105" s="41"/>
      <c r="AD105" s="41"/>
      <c r="AE105" s="41">
        <v>4</v>
      </c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>
        <v>23</v>
      </c>
      <c r="AV105" s="41"/>
      <c r="AW105" s="41">
        <v>2</v>
      </c>
      <c r="AX105" s="41"/>
      <c r="AY105" s="41"/>
      <c r="AZ105" s="41"/>
      <c r="BA105" s="41"/>
      <c r="BB105" s="41"/>
      <c r="BC105" s="41"/>
    </row>
    <row r="106" spans="1:55" x14ac:dyDescent="0.2">
      <c r="A106" s="41">
        <v>212</v>
      </c>
      <c r="B106" s="41">
        <v>23</v>
      </c>
      <c r="C106" s="41"/>
      <c r="D106" s="41"/>
      <c r="E106" s="41"/>
      <c r="F106" s="41">
        <v>8</v>
      </c>
      <c r="G106" s="41">
        <v>12</v>
      </c>
      <c r="H106" s="41"/>
      <c r="I106" s="41"/>
      <c r="J106" s="41">
        <v>17</v>
      </c>
      <c r="K106" s="41"/>
      <c r="L106" s="41">
        <v>3</v>
      </c>
      <c r="M106" s="41"/>
      <c r="N106" s="41">
        <v>4</v>
      </c>
      <c r="O106" s="41">
        <v>3</v>
      </c>
      <c r="P106" s="41"/>
      <c r="Q106" s="41"/>
      <c r="R106" s="41"/>
      <c r="S106" s="41"/>
      <c r="T106" s="41"/>
      <c r="U106" s="41"/>
      <c r="V106" s="41"/>
      <c r="W106" s="41"/>
      <c r="X106" s="41">
        <v>18</v>
      </c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>
        <v>22</v>
      </c>
      <c r="AV106" s="41"/>
      <c r="AW106" s="41">
        <v>4</v>
      </c>
      <c r="AX106" s="41"/>
      <c r="AY106" s="41"/>
      <c r="AZ106" s="41"/>
      <c r="BA106" s="41"/>
      <c r="BB106" s="41"/>
      <c r="BC106" s="41"/>
    </row>
    <row r="107" spans="1:55" x14ac:dyDescent="0.2">
      <c r="A107" s="41">
        <v>214</v>
      </c>
      <c r="B107" s="41">
        <v>20</v>
      </c>
      <c r="C107" s="41"/>
      <c r="D107" s="41"/>
      <c r="E107" s="41"/>
      <c r="F107" s="41">
        <v>9</v>
      </c>
      <c r="G107" s="41">
        <v>11</v>
      </c>
      <c r="H107" s="41"/>
      <c r="I107" s="41"/>
      <c r="J107" s="41">
        <v>20</v>
      </c>
      <c r="K107" s="41"/>
      <c r="L107" s="41">
        <v>2</v>
      </c>
      <c r="M107" s="41"/>
      <c r="N107" s="41">
        <v>5</v>
      </c>
      <c r="O107" s="41">
        <v>1</v>
      </c>
      <c r="P107" s="41"/>
      <c r="Q107" s="41"/>
      <c r="R107" s="41"/>
      <c r="S107" s="41"/>
      <c r="T107" s="41"/>
      <c r="U107" s="41"/>
      <c r="V107" s="41"/>
      <c r="W107" s="41"/>
      <c r="X107" s="41">
        <v>15</v>
      </c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>
        <v>17</v>
      </c>
      <c r="AV107" s="41"/>
      <c r="AW107" s="41">
        <v>2</v>
      </c>
      <c r="AX107" s="41"/>
      <c r="AY107" s="41"/>
      <c r="AZ107" s="41"/>
      <c r="BA107" s="41"/>
      <c r="BB107" s="41"/>
      <c r="BC107" s="41"/>
    </row>
    <row r="108" spans="1:55" x14ac:dyDescent="0.2">
      <c r="A108" s="41">
        <v>216</v>
      </c>
      <c r="B108" s="41">
        <v>20</v>
      </c>
      <c r="C108" s="41"/>
      <c r="D108" s="41"/>
      <c r="E108" s="41"/>
      <c r="F108" s="41">
        <v>7</v>
      </c>
      <c r="G108" s="41">
        <v>12</v>
      </c>
      <c r="H108" s="41"/>
      <c r="I108" s="41"/>
      <c r="J108" s="41">
        <v>20</v>
      </c>
      <c r="K108" s="41"/>
      <c r="L108" s="41">
        <v>3</v>
      </c>
      <c r="M108" s="41"/>
      <c r="N108" s="41">
        <v>5</v>
      </c>
      <c r="O108" s="41">
        <v>1</v>
      </c>
      <c r="P108" s="41"/>
      <c r="Q108" s="41"/>
      <c r="R108" s="41"/>
      <c r="S108" s="41"/>
      <c r="T108" s="41"/>
      <c r="U108" s="41"/>
      <c r="V108" s="41"/>
      <c r="W108" s="41"/>
      <c r="X108" s="41">
        <v>17</v>
      </c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>
        <v>20</v>
      </c>
      <c r="AV108" s="41"/>
      <c r="AW108" s="41">
        <v>3</v>
      </c>
      <c r="AX108" s="41"/>
      <c r="AY108" s="41"/>
      <c r="AZ108" s="41"/>
      <c r="BA108" s="41"/>
      <c r="BB108" s="41"/>
      <c r="BC108" s="41"/>
    </row>
    <row r="109" spans="1:55" x14ac:dyDescent="0.2">
      <c r="A109" s="41">
        <v>218</v>
      </c>
      <c r="B109" s="41">
        <v>19</v>
      </c>
      <c r="C109" s="41"/>
      <c r="D109" s="41"/>
      <c r="E109" s="41"/>
      <c r="F109" s="41">
        <v>10</v>
      </c>
      <c r="G109" s="41">
        <v>12</v>
      </c>
      <c r="H109" s="41"/>
      <c r="I109" s="41"/>
      <c r="J109" s="41">
        <v>19</v>
      </c>
      <c r="K109" s="41"/>
      <c r="L109" s="41">
        <v>3</v>
      </c>
      <c r="M109" s="41"/>
      <c r="N109" s="41">
        <v>5</v>
      </c>
      <c r="O109" s="41"/>
      <c r="P109" s="41"/>
      <c r="Q109" s="41"/>
      <c r="R109" s="41"/>
      <c r="S109" s="41"/>
      <c r="T109" s="41"/>
      <c r="U109" s="41"/>
      <c r="V109" s="41"/>
      <c r="W109" s="41"/>
      <c r="X109" s="41">
        <v>15</v>
      </c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>
        <v>18</v>
      </c>
      <c r="AV109" s="41"/>
      <c r="AW109" s="41">
        <v>3</v>
      </c>
      <c r="AX109" s="41"/>
      <c r="AY109" s="41"/>
      <c r="AZ109" s="41"/>
      <c r="BA109" s="41"/>
      <c r="BB109" s="41"/>
      <c r="BC109" s="41"/>
    </row>
    <row r="110" spans="1:55" x14ac:dyDescent="0.2">
      <c r="A110" s="41">
        <v>220</v>
      </c>
      <c r="B110" s="41">
        <v>21</v>
      </c>
      <c r="C110" s="41"/>
      <c r="D110" s="41"/>
      <c r="E110" s="41"/>
      <c r="F110" s="41">
        <v>10</v>
      </c>
      <c r="G110" s="41">
        <v>12</v>
      </c>
      <c r="H110" s="41"/>
      <c r="I110" s="41"/>
      <c r="J110" s="41">
        <v>17</v>
      </c>
      <c r="K110" s="41"/>
      <c r="L110" s="41">
        <v>2</v>
      </c>
      <c r="M110" s="41"/>
      <c r="N110" s="41">
        <v>2</v>
      </c>
      <c r="O110" s="41"/>
      <c r="P110" s="41"/>
      <c r="Q110" s="41"/>
      <c r="R110" s="41"/>
      <c r="S110" s="41"/>
      <c r="T110" s="41"/>
      <c r="U110" s="41"/>
      <c r="V110" s="41"/>
      <c r="W110" s="41"/>
      <c r="X110" s="41">
        <v>14</v>
      </c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>
        <v>15</v>
      </c>
      <c r="AV110" s="41"/>
      <c r="AW110" s="41">
        <v>3</v>
      </c>
      <c r="AX110" s="41"/>
      <c r="AY110" s="41"/>
      <c r="AZ110" s="41"/>
      <c r="BA110" s="41"/>
      <c r="BB110" s="41"/>
      <c r="BC110" s="41"/>
    </row>
    <row r="111" spans="1:55" x14ac:dyDescent="0.2">
      <c r="A111" s="41">
        <v>222</v>
      </c>
      <c r="B111" s="41">
        <v>21</v>
      </c>
      <c r="C111" s="41"/>
      <c r="D111" s="41"/>
      <c r="E111" s="41"/>
      <c r="F111" s="41">
        <v>8</v>
      </c>
      <c r="G111" s="41">
        <v>12</v>
      </c>
      <c r="H111" s="41"/>
      <c r="I111" s="41"/>
      <c r="J111" s="41">
        <v>16</v>
      </c>
      <c r="K111" s="41"/>
      <c r="L111" s="41"/>
      <c r="M111" s="41"/>
      <c r="N111" s="41">
        <v>2</v>
      </c>
      <c r="O111" s="41"/>
      <c r="P111" s="41"/>
      <c r="Q111" s="41"/>
      <c r="R111" s="41"/>
      <c r="S111" s="41"/>
      <c r="T111" s="41"/>
      <c r="U111" s="41"/>
      <c r="V111" s="41"/>
      <c r="W111" s="41"/>
      <c r="X111" s="41">
        <v>13</v>
      </c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>
        <v>13</v>
      </c>
      <c r="AV111" s="41"/>
      <c r="AW111" s="41">
        <v>1</v>
      </c>
      <c r="AX111" s="41"/>
      <c r="AY111" s="41"/>
      <c r="AZ111" s="41"/>
      <c r="BA111" s="41"/>
      <c r="BB111" s="41"/>
      <c r="BC111" s="41"/>
    </row>
    <row r="112" spans="1:55" x14ac:dyDescent="0.2">
      <c r="A112" s="41">
        <v>224</v>
      </c>
      <c r="B112" s="41">
        <v>19</v>
      </c>
      <c r="C112" s="41"/>
      <c r="D112" s="41"/>
      <c r="E112" s="41"/>
      <c r="F112" s="41">
        <v>7</v>
      </c>
      <c r="G112" s="41">
        <v>12</v>
      </c>
      <c r="H112" s="41"/>
      <c r="I112" s="41"/>
      <c r="J112" s="41">
        <v>17</v>
      </c>
      <c r="K112" s="41"/>
      <c r="L112" s="41"/>
      <c r="M112" s="41"/>
      <c r="N112" s="41">
        <v>2</v>
      </c>
      <c r="O112" s="41"/>
      <c r="P112" s="41"/>
      <c r="Q112" s="41"/>
      <c r="R112" s="41"/>
      <c r="S112" s="41"/>
      <c r="T112" s="41"/>
      <c r="U112" s="41"/>
      <c r="V112" s="41"/>
      <c r="W112" s="41"/>
      <c r="X112" s="41">
        <v>10</v>
      </c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>
        <v>15</v>
      </c>
      <c r="AV112" s="41"/>
      <c r="AW112" s="41">
        <v>1</v>
      </c>
      <c r="AX112" s="41"/>
      <c r="AY112" s="41"/>
      <c r="AZ112" s="41"/>
      <c r="BA112" s="41"/>
      <c r="BB112" s="41"/>
      <c r="BC112" s="41"/>
    </row>
    <row r="113" spans="1:55" x14ac:dyDescent="0.2">
      <c r="A113" s="41">
        <v>226</v>
      </c>
      <c r="B113" s="41">
        <v>15</v>
      </c>
      <c r="C113" s="41"/>
      <c r="D113" s="41"/>
      <c r="E113" s="41"/>
      <c r="F113" s="41">
        <v>5</v>
      </c>
      <c r="G113" s="41">
        <v>11</v>
      </c>
      <c r="H113" s="41"/>
      <c r="I113" s="41"/>
      <c r="J113" s="41">
        <v>19</v>
      </c>
      <c r="K113" s="41"/>
      <c r="L113" s="41"/>
      <c r="M113" s="41"/>
      <c r="N113" s="41">
        <v>1</v>
      </c>
      <c r="O113" s="41"/>
      <c r="P113" s="41"/>
      <c r="Q113" s="41"/>
      <c r="R113" s="41"/>
      <c r="S113" s="41"/>
      <c r="T113" s="41"/>
      <c r="U113" s="41"/>
      <c r="V113" s="41"/>
      <c r="W113" s="41"/>
      <c r="X113" s="41">
        <v>8</v>
      </c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>
        <v>16</v>
      </c>
      <c r="AV113" s="41"/>
      <c r="AW113" s="41">
        <v>1</v>
      </c>
      <c r="AX113" s="41"/>
      <c r="AY113" s="41"/>
      <c r="AZ113" s="41"/>
      <c r="BA113" s="41"/>
      <c r="BB113" s="41"/>
      <c r="BC113" s="41"/>
    </row>
    <row r="114" spans="1:55" x14ac:dyDescent="0.2">
      <c r="A114" s="41">
        <v>228</v>
      </c>
      <c r="B114" s="41">
        <v>17</v>
      </c>
      <c r="C114" s="41"/>
      <c r="D114" s="41"/>
      <c r="E114" s="41"/>
      <c r="F114" s="41">
        <v>2</v>
      </c>
      <c r="G114" s="41">
        <v>8</v>
      </c>
      <c r="H114" s="41"/>
      <c r="I114" s="41"/>
      <c r="J114" s="41">
        <v>18</v>
      </c>
      <c r="K114" s="41"/>
      <c r="L114" s="41"/>
      <c r="M114" s="41"/>
      <c r="N114" s="41">
        <v>2</v>
      </c>
      <c r="O114" s="41"/>
      <c r="P114" s="41"/>
      <c r="Q114" s="41"/>
      <c r="R114" s="41"/>
      <c r="S114" s="41"/>
      <c r="T114" s="41"/>
      <c r="U114" s="41"/>
      <c r="V114" s="41"/>
      <c r="W114" s="41"/>
      <c r="X114" s="41">
        <v>7</v>
      </c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>
        <v>13</v>
      </c>
      <c r="AV114" s="41"/>
      <c r="AW114" s="41">
        <v>1</v>
      </c>
      <c r="AX114" s="41"/>
      <c r="AY114" s="41"/>
      <c r="AZ114" s="41"/>
      <c r="BA114" s="41"/>
      <c r="BB114" s="41"/>
      <c r="BC114" s="41"/>
    </row>
    <row r="115" spans="1:55" x14ac:dyDescent="0.2">
      <c r="A115" s="41">
        <v>230</v>
      </c>
      <c r="B115" s="41">
        <v>19</v>
      </c>
      <c r="C115" s="41"/>
      <c r="D115" s="41"/>
      <c r="E115" s="41"/>
      <c r="F115" s="41">
        <v>2</v>
      </c>
      <c r="G115" s="41">
        <v>13</v>
      </c>
      <c r="H115" s="41"/>
      <c r="I115" s="41"/>
      <c r="J115" s="41">
        <v>19</v>
      </c>
      <c r="K115" s="41"/>
      <c r="L115" s="41"/>
      <c r="M115" s="41"/>
      <c r="N115" s="41">
        <v>1</v>
      </c>
      <c r="O115" s="41"/>
      <c r="P115" s="41"/>
      <c r="Q115" s="41"/>
      <c r="R115" s="41"/>
      <c r="S115" s="41"/>
      <c r="T115" s="41"/>
      <c r="U115" s="41"/>
      <c r="V115" s="41"/>
      <c r="W115" s="41"/>
      <c r="X115" s="41">
        <v>9</v>
      </c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>
        <v>12</v>
      </c>
      <c r="AV115" s="41"/>
      <c r="AW115" s="41">
        <v>1</v>
      </c>
      <c r="AX115" s="41"/>
      <c r="AY115" s="41"/>
      <c r="AZ115" s="41"/>
      <c r="BA115" s="41"/>
      <c r="BB115" s="41"/>
      <c r="BC115" s="41"/>
    </row>
    <row r="116" spans="1:55" x14ac:dyDescent="0.2">
      <c r="A116" s="41">
        <v>232</v>
      </c>
      <c r="B116" s="41">
        <v>23</v>
      </c>
      <c r="C116" s="41"/>
      <c r="D116" s="41"/>
      <c r="E116" s="41"/>
      <c r="F116" s="41"/>
      <c r="G116" s="41">
        <v>11</v>
      </c>
      <c r="H116" s="41"/>
      <c r="I116" s="41"/>
      <c r="J116" s="41">
        <v>23</v>
      </c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>
        <v>7</v>
      </c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>
        <v>13</v>
      </c>
      <c r="AV116" s="41"/>
      <c r="AW116" s="41"/>
      <c r="AX116" s="41"/>
      <c r="AY116" s="41"/>
      <c r="AZ116" s="41"/>
      <c r="BA116" s="41"/>
      <c r="BB116" s="41"/>
      <c r="BC116" s="41"/>
    </row>
    <row r="117" spans="1:55" x14ac:dyDescent="0.2">
      <c r="A117" s="41">
        <v>234</v>
      </c>
      <c r="B117" s="41">
        <v>21</v>
      </c>
      <c r="C117" s="41"/>
      <c r="D117" s="41"/>
      <c r="E117" s="41"/>
      <c r="F117" s="41"/>
      <c r="G117" s="41">
        <v>11</v>
      </c>
      <c r="H117" s="41"/>
      <c r="I117" s="41"/>
      <c r="J117" s="41">
        <v>23</v>
      </c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>
        <v>7</v>
      </c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>
        <v>11</v>
      </c>
      <c r="AV117" s="41"/>
      <c r="AW117" s="41"/>
      <c r="AX117" s="41"/>
      <c r="AY117" s="41"/>
      <c r="AZ117" s="41"/>
      <c r="BA117" s="41"/>
      <c r="BB117" s="41"/>
      <c r="BC117" s="41"/>
    </row>
    <row r="118" spans="1:55" x14ac:dyDescent="0.2">
      <c r="A118" s="41">
        <v>236</v>
      </c>
      <c r="B118" s="41">
        <v>16</v>
      </c>
      <c r="C118" s="41"/>
      <c r="D118" s="41"/>
      <c r="E118" s="41"/>
      <c r="F118" s="41"/>
      <c r="G118" s="41">
        <v>9</v>
      </c>
      <c r="H118" s="41"/>
      <c r="I118" s="41"/>
      <c r="J118" s="41">
        <v>22</v>
      </c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>
        <v>6</v>
      </c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>
        <v>13</v>
      </c>
      <c r="AV118" s="41"/>
      <c r="AW118" s="41"/>
      <c r="AX118" s="41"/>
      <c r="AY118" s="41"/>
      <c r="AZ118" s="41"/>
      <c r="BA118" s="41"/>
      <c r="BB118" s="41"/>
      <c r="BC118" s="41"/>
    </row>
    <row r="119" spans="1:55" x14ac:dyDescent="0.2">
      <c r="A119" s="41">
        <v>238</v>
      </c>
      <c r="B119" s="41">
        <v>22</v>
      </c>
      <c r="C119" s="41"/>
      <c r="D119" s="41"/>
      <c r="E119" s="41"/>
      <c r="F119" s="41"/>
      <c r="G119" s="41">
        <v>8</v>
      </c>
      <c r="H119" s="41"/>
      <c r="I119" s="41"/>
      <c r="J119" s="41">
        <v>24</v>
      </c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>
        <v>5</v>
      </c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>
        <v>10</v>
      </c>
      <c r="AV119" s="41"/>
      <c r="AW119" s="41"/>
      <c r="AX119" s="41"/>
      <c r="AY119" s="41"/>
      <c r="AZ119" s="41"/>
      <c r="BA119" s="41"/>
      <c r="BB119" s="41"/>
      <c r="BC119" s="41"/>
    </row>
    <row r="120" spans="1:55" x14ac:dyDescent="0.2">
      <c r="A120" s="41">
        <v>240</v>
      </c>
      <c r="B120" s="41">
        <v>27</v>
      </c>
      <c r="C120" s="41"/>
      <c r="D120" s="41"/>
      <c r="E120" s="41"/>
      <c r="F120" s="41"/>
      <c r="G120" s="41">
        <v>10</v>
      </c>
      <c r="H120" s="41"/>
      <c r="I120" s="41"/>
      <c r="J120" s="41">
        <v>23</v>
      </c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>
        <v>5</v>
      </c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>
        <v>9</v>
      </c>
      <c r="AV120" s="41"/>
      <c r="AW120" s="41"/>
      <c r="AX120" s="41"/>
      <c r="AY120" s="41"/>
      <c r="AZ120" s="41"/>
      <c r="BA120" s="41"/>
      <c r="BB120" s="41"/>
      <c r="BC120" s="41"/>
    </row>
    <row r="121" spans="1:55" x14ac:dyDescent="0.2">
      <c r="A121" s="41">
        <v>242</v>
      </c>
      <c r="B121" s="41">
        <v>25</v>
      </c>
      <c r="C121" s="41"/>
      <c r="D121" s="41"/>
      <c r="E121" s="41"/>
      <c r="F121" s="41"/>
      <c r="G121" s="41">
        <v>10</v>
      </c>
      <c r="H121" s="41"/>
      <c r="I121" s="41"/>
      <c r="J121" s="41">
        <v>18</v>
      </c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>
        <v>5</v>
      </c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>
        <v>8</v>
      </c>
      <c r="AV121" s="41"/>
      <c r="AW121" s="41"/>
      <c r="AX121" s="41"/>
      <c r="AY121" s="41"/>
      <c r="AZ121" s="41"/>
      <c r="BA121" s="41"/>
      <c r="BB121" s="41"/>
      <c r="BC121" s="41"/>
    </row>
    <row r="122" spans="1:55" x14ac:dyDescent="0.2">
      <c r="A122" s="41">
        <v>244</v>
      </c>
      <c r="B122" s="41">
        <v>25</v>
      </c>
      <c r="C122" s="41"/>
      <c r="D122" s="41"/>
      <c r="E122" s="41"/>
      <c r="F122" s="41"/>
      <c r="G122" s="41">
        <v>8</v>
      </c>
      <c r="H122" s="41"/>
      <c r="I122" s="41"/>
      <c r="J122" s="41">
        <v>20</v>
      </c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>
        <v>4</v>
      </c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>
        <v>8</v>
      </c>
      <c r="AV122" s="41"/>
      <c r="AW122" s="41"/>
      <c r="AX122" s="41"/>
      <c r="AY122" s="41"/>
      <c r="AZ122" s="41"/>
      <c r="BA122" s="41"/>
      <c r="BB122" s="41"/>
      <c r="BC122" s="41"/>
    </row>
    <row r="123" spans="1:55" x14ac:dyDescent="0.2">
      <c r="A123" s="41">
        <v>246</v>
      </c>
      <c r="B123" s="41">
        <v>15</v>
      </c>
      <c r="C123" s="41"/>
      <c r="D123" s="41"/>
      <c r="E123" s="41"/>
      <c r="F123" s="41"/>
      <c r="G123" s="41">
        <v>8</v>
      </c>
      <c r="H123" s="41"/>
      <c r="I123" s="41"/>
      <c r="J123" s="41">
        <v>21</v>
      </c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>
        <v>3</v>
      </c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>
        <v>8</v>
      </c>
      <c r="AV123" s="41"/>
      <c r="AW123" s="41"/>
      <c r="AX123" s="41"/>
      <c r="AY123" s="41"/>
      <c r="AZ123" s="41"/>
      <c r="BA123" s="41"/>
      <c r="BB123" s="41"/>
      <c r="BC123" s="41"/>
    </row>
    <row r="124" spans="1:55" x14ac:dyDescent="0.2">
      <c r="A124" s="41">
        <v>248</v>
      </c>
      <c r="B124" s="41">
        <v>9</v>
      </c>
      <c r="C124" s="41"/>
      <c r="D124" s="41"/>
      <c r="E124" s="41"/>
      <c r="F124" s="41"/>
      <c r="G124" s="41">
        <v>9</v>
      </c>
      <c r="H124" s="41"/>
      <c r="I124" s="41"/>
      <c r="J124" s="41">
        <v>17</v>
      </c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>
        <v>5</v>
      </c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>
        <v>7</v>
      </c>
      <c r="AV124" s="41"/>
      <c r="AW124" s="41"/>
      <c r="AX124" s="41"/>
      <c r="AY124" s="41"/>
      <c r="AZ124" s="41"/>
      <c r="BA124" s="41"/>
      <c r="BB124" s="41"/>
      <c r="BC124" s="41"/>
    </row>
    <row r="125" spans="1:55" x14ac:dyDescent="0.2">
      <c r="A125" s="41">
        <v>250</v>
      </c>
      <c r="B125" s="41">
        <v>6</v>
      </c>
      <c r="C125" s="41"/>
      <c r="D125" s="41"/>
      <c r="E125" s="41"/>
      <c r="F125" s="41"/>
      <c r="G125" s="41">
        <v>5</v>
      </c>
      <c r="H125" s="41"/>
      <c r="I125" s="41"/>
      <c r="J125" s="41">
        <v>18</v>
      </c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>
        <v>4</v>
      </c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>
        <v>4</v>
      </c>
      <c r="AV125" s="41"/>
      <c r="AW125" s="41"/>
      <c r="AX125" s="41"/>
      <c r="AY125" s="41"/>
      <c r="AZ125" s="41"/>
      <c r="BA125" s="41"/>
      <c r="BB125" s="41"/>
      <c r="BC125" s="41"/>
    </row>
    <row r="126" spans="1:55" x14ac:dyDescent="0.2">
      <c r="A126" s="41">
        <v>252</v>
      </c>
      <c r="B126" s="41">
        <v>5</v>
      </c>
      <c r="C126" s="41"/>
      <c r="D126" s="41"/>
      <c r="E126" s="41"/>
      <c r="F126" s="41"/>
      <c r="G126" s="41">
        <v>5</v>
      </c>
      <c r="H126" s="41"/>
      <c r="I126" s="41"/>
      <c r="J126" s="41">
        <v>13</v>
      </c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>
        <v>4</v>
      </c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>
        <v>3</v>
      </c>
      <c r="AV126" s="41"/>
      <c r="AW126" s="41"/>
      <c r="AX126" s="41"/>
      <c r="AY126" s="41"/>
      <c r="AZ126" s="41"/>
      <c r="BA126" s="41"/>
      <c r="BB126" s="41"/>
      <c r="BC126" s="41"/>
    </row>
    <row r="127" spans="1:55" x14ac:dyDescent="0.2">
      <c r="A127" s="41">
        <v>254</v>
      </c>
      <c r="B127" s="41">
        <v>2</v>
      </c>
      <c r="C127" s="41"/>
      <c r="D127" s="41"/>
      <c r="E127" s="41"/>
      <c r="F127" s="41"/>
      <c r="G127" s="41">
        <v>4</v>
      </c>
      <c r="H127" s="41"/>
      <c r="I127" s="41"/>
      <c r="J127" s="41">
        <v>13</v>
      </c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>
        <v>4</v>
      </c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>
        <v>3</v>
      </c>
      <c r="AV127" s="41"/>
      <c r="AW127" s="41"/>
      <c r="AX127" s="41"/>
      <c r="AY127" s="41"/>
      <c r="AZ127" s="41"/>
      <c r="BA127" s="41"/>
      <c r="BB127" s="41"/>
      <c r="BC127" s="41"/>
    </row>
    <row r="128" spans="1:55" x14ac:dyDescent="0.2">
      <c r="A128" s="41">
        <v>256</v>
      </c>
      <c r="B128" s="41"/>
      <c r="C128" s="41"/>
      <c r="D128" s="41"/>
      <c r="E128" s="41"/>
      <c r="F128" s="41"/>
      <c r="G128" s="41">
        <v>4</v>
      </c>
      <c r="H128" s="41"/>
      <c r="I128" s="41"/>
      <c r="J128" s="41">
        <v>12</v>
      </c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>
        <v>7</v>
      </c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>
        <v>3</v>
      </c>
      <c r="AV128" s="41"/>
      <c r="AW128" s="41"/>
      <c r="AX128" s="41"/>
      <c r="AY128" s="41"/>
      <c r="AZ128" s="41"/>
      <c r="BA128" s="41"/>
      <c r="BB128" s="41"/>
      <c r="BC128" s="41"/>
    </row>
    <row r="129" spans="1:55" x14ac:dyDescent="0.2">
      <c r="A129" s="41">
        <v>258</v>
      </c>
      <c r="B129" s="41"/>
      <c r="C129" s="41"/>
      <c r="D129" s="41"/>
      <c r="E129" s="41"/>
      <c r="F129" s="41"/>
      <c r="G129" s="41">
        <v>4</v>
      </c>
      <c r="H129" s="41"/>
      <c r="I129" s="41"/>
      <c r="J129" s="41">
        <v>12</v>
      </c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>
        <v>6</v>
      </c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>
        <v>2</v>
      </c>
      <c r="AV129" s="41"/>
      <c r="AW129" s="41"/>
      <c r="AX129" s="41"/>
      <c r="AY129" s="41"/>
      <c r="AZ129" s="41"/>
      <c r="BA129" s="41"/>
      <c r="BB129" s="41"/>
      <c r="BC129" s="41"/>
    </row>
    <row r="130" spans="1:55" x14ac:dyDescent="0.2">
      <c r="A130" s="41">
        <v>260</v>
      </c>
      <c r="B130" s="41"/>
      <c r="C130" s="41"/>
      <c r="D130" s="41"/>
      <c r="E130" s="41"/>
      <c r="F130" s="41"/>
      <c r="G130" s="41">
        <v>4</v>
      </c>
      <c r="H130" s="41"/>
      <c r="I130" s="41"/>
      <c r="J130" s="41">
        <v>9</v>
      </c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>
        <v>5</v>
      </c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>
        <v>2</v>
      </c>
      <c r="AV130" s="41"/>
      <c r="AW130" s="41"/>
      <c r="AX130" s="41"/>
      <c r="AY130" s="41"/>
      <c r="AZ130" s="41"/>
      <c r="BA130" s="41"/>
      <c r="BB130" s="41"/>
      <c r="BC130" s="41"/>
    </row>
    <row r="131" spans="1:55" x14ac:dyDescent="0.2">
      <c r="A131" s="41">
        <v>262</v>
      </c>
      <c r="B131" s="41"/>
      <c r="C131" s="41"/>
      <c r="D131" s="41"/>
      <c r="E131" s="41"/>
      <c r="F131" s="41"/>
      <c r="G131" s="41">
        <v>4</v>
      </c>
      <c r="H131" s="41"/>
      <c r="I131" s="41"/>
      <c r="J131" s="41">
        <v>11</v>
      </c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>
        <v>5</v>
      </c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>
        <v>1</v>
      </c>
      <c r="AV131" s="41"/>
      <c r="AW131" s="41"/>
      <c r="AX131" s="41"/>
      <c r="AY131" s="41"/>
      <c r="AZ131" s="41"/>
      <c r="BA131" s="41"/>
      <c r="BB131" s="41"/>
      <c r="BC131" s="41"/>
    </row>
    <row r="132" spans="1:55" x14ac:dyDescent="0.2">
      <c r="A132" s="41">
        <v>264</v>
      </c>
      <c r="B132" s="41"/>
      <c r="C132" s="41"/>
      <c r="D132" s="41"/>
      <c r="E132" s="41"/>
      <c r="F132" s="41"/>
      <c r="G132" s="41">
        <v>5</v>
      </c>
      <c r="H132" s="41"/>
      <c r="I132" s="41"/>
      <c r="J132" s="41">
        <v>8</v>
      </c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>
        <v>7</v>
      </c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</row>
    <row r="133" spans="1:55" x14ac:dyDescent="0.2">
      <c r="A133" s="41">
        <v>266</v>
      </c>
      <c r="B133" s="41"/>
      <c r="C133" s="41"/>
      <c r="D133" s="41"/>
      <c r="E133" s="41"/>
      <c r="F133" s="41"/>
      <c r="G133" s="41">
        <v>4</v>
      </c>
      <c r="H133" s="41"/>
      <c r="I133" s="41"/>
      <c r="J133" s="41">
        <v>8</v>
      </c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>
        <v>7</v>
      </c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</row>
    <row r="134" spans="1:55" x14ac:dyDescent="0.2">
      <c r="A134" s="41">
        <v>268</v>
      </c>
      <c r="B134" s="41"/>
      <c r="C134" s="41"/>
      <c r="D134" s="41"/>
      <c r="E134" s="41"/>
      <c r="F134" s="41"/>
      <c r="G134" s="41"/>
      <c r="H134" s="41"/>
      <c r="I134" s="41"/>
      <c r="J134" s="41">
        <v>9</v>
      </c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>
        <v>5</v>
      </c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</row>
    <row r="135" spans="1:55" x14ac:dyDescent="0.2">
      <c r="A135" s="41">
        <v>270</v>
      </c>
      <c r="B135" s="41"/>
      <c r="C135" s="41"/>
      <c r="D135" s="41"/>
      <c r="E135" s="41"/>
      <c r="F135" s="41"/>
      <c r="G135" s="41"/>
      <c r="H135" s="41"/>
      <c r="I135" s="41"/>
      <c r="J135" s="41">
        <v>9</v>
      </c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>
        <v>5</v>
      </c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</row>
    <row r="136" spans="1:55" x14ac:dyDescent="0.2">
      <c r="A136" s="41">
        <v>272</v>
      </c>
      <c r="B136" s="41"/>
      <c r="C136" s="41"/>
      <c r="D136" s="41"/>
      <c r="E136" s="41"/>
      <c r="F136" s="41"/>
      <c r="G136" s="41"/>
      <c r="H136" s="41"/>
      <c r="I136" s="41"/>
      <c r="J136" s="41">
        <v>12</v>
      </c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>
        <v>5</v>
      </c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</row>
    <row r="137" spans="1:55" x14ac:dyDescent="0.2">
      <c r="A137" s="41">
        <v>274</v>
      </c>
      <c r="B137" s="41"/>
      <c r="C137" s="41"/>
      <c r="D137" s="41"/>
      <c r="E137" s="41"/>
      <c r="F137" s="41"/>
      <c r="G137" s="41"/>
      <c r="H137" s="41"/>
      <c r="I137" s="41"/>
      <c r="J137" s="41">
        <v>9</v>
      </c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>
        <v>5</v>
      </c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</row>
    <row r="138" spans="1:55" x14ac:dyDescent="0.2">
      <c r="A138" s="41">
        <v>276</v>
      </c>
      <c r="B138" s="41"/>
      <c r="C138" s="41"/>
      <c r="D138" s="41"/>
      <c r="E138" s="41"/>
      <c r="F138" s="41"/>
      <c r="G138" s="41"/>
      <c r="H138" s="41"/>
      <c r="I138" s="41"/>
      <c r="J138" s="41">
        <v>7</v>
      </c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>
        <v>4</v>
      </c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</row>
    <row r="139" spans="1:55" x14ac:dyDescent="0.2">
      <c r="A139" s="41">
        <v>278</v>
      </c>
      <c r="B139" s="41"/>
      <c r="C139" s="41"/>
      <c r="D139" s="41"/>
      <c r="E139" s="41"/>
      <c r="F139" s="41"/>
      <c r="G139" s="41"/>
      <c r="H139" s="41"/>
      <c r="I139" s="41"/>
      <c r="J139" s="41">
        <v>4</v>
      </c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>
        <v>4</v>
      </c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</row>
    <row r="140" spans="1:55" x14ac:dyDescent="0.2">
      <c r="A140" s="41">
        <v>280</v>
      </c>
      <c r="B140" s="41"/>
      <c r="C140" s="41"/>
      <c r="D140" s="41"/>
      <c r="E140" s="41"/>
      <c r="F140" s="41"/>
      <c r="G140" s="41"/>
      <c r="H140" s="41"/>
      <c r="I140" s="41"/>
      <c r="J140" s="41">
        <v>3</v>
      </c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>
        <v>5</v>
      </c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</row>
    <row r="141" spans="1:55" x14ac:dyDescent="0.2">
      <c r="A141" s="41">
        <v>282</v>
      </c>
      <c r="B141" s="41"/>
      <c r="C141" s="41"/>
      <c r="D141" s="41"/>
      <c r="E141" s="41"/>
      <c r="F141" s="41"/>
      <c r="G141" s="41"/>
      <c r="H141" s="41"/>
      <c r="I141" s="41"/>
      <c r="J141" s="41">
        <v>2</v>
      </c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>
        <v>3</v>
      </c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</row>
    <row r="142" spans="1:55" x14ac:dyDescent="0.2">
      <c r="A142" s="41">
        <v>284</v>
      </c>
      <c r="B142" s="41"/>
      <c r="C142" s="41"/>
      <c r="D142" s="41"/>
      <c r="E142" s="41"/>
      <c r="F142" s="41"/>
      <c r="G142" s="41"/>
      <c r="H142" s="41"/>
      <c r="I142" s="41"/>
      <c r="J142" s="41">
        <v>2</v>
      </c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>
        <v>1</v>
      </c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</row>
    <row r="143" spans="1:55" x14ac:dyDescent="0.2">
      <c r="A143" s="41">
        <v>286</v>
      </c>
      <c r="B143" s="41"/>
      <c r="C143" s="41"/>
      <c r="D143" s="41"/>
      <c r="E143" s="41"/>
      <c r="F143" s="41"/>
      <c r="G143" s="41"/>
      <c r="H143" s="41"/>
      <c r="I143" s="41"/>
      <c r="J143" s="41">
        <v>2</v>
      </c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>
        <v>3</v>
      </c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</row>
    <row r="144" spans="1:55" x14ac:dyDescent="0.2">
      <c r="A144" s="41">
        <v>288</v>
      </c>
      <c r="B144" s="41"/>
      <c r="C144" s="41"/>
      <c r="D144" s="41"/>
      <c r="E144" s="41"/>
      <c r="F144" s="41"/>
      <c r="G144" s="41"/>
      <c r="H144" s="41"/>
      <c r="I144" s="41"/>
      <c r="J144" s="41">
        <v>2</v>
      </c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>
        <v>3</v>
      </c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</row>
    <row r="145" spans="1:55" x14ac:dyDescent="0.2">
      <c r="A145" s="41">
        <v>290</v>
      </c>
      <c r="B145" s="41"/>
      <c r="C145" s="41"/>
      <c r="D145" s="41"/>
      <c r="E145" s="41"/>
      <c r="F145" s="41"/>
      <c r="G145" s="41"/>
      <c r="H145" s="41"/>
      <c r="I145" s="41"/>
      <c r="J145" s="41">
        <v>2</v>
      </c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>
        <v>2</v>
      </c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</row>
    <row r="146" spans="1:55" x14ac:dyDescent="0.2">
      <c r="A146" s="41">
        <v>292</v>
      </c>
      <c r="B146" s="41"/>
      <c r="C146" s="41"/>
      <c r="D146" s="41"/>
      <c r="E146" s="41"/>
      <c r="F146" s="41"/>
      <c r="G146" s="41"/>
      <c r="H146" s="41"/>
      <c r="I146" s="41"/>
      <c r="J146" s="41">
        <v>1</v>
      </c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>
        <v>2</v>
      </c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</row>
    <row r="147" spans="1:55" x14ac:dyDescent="0.2">
      <c r="A147" s="41">
        <v>294</v>
      </c>
      <c r="B147" s="41"/>
      <c r="C147" s="41"/>
      <c r="D147" s="41"/>
      <c r="E147" s="41"/>
      <c r="F147" s="41"/>
      <c r="G147" s="41"/>
      <c r="H147" s="41"/>
      <c r="I147" s="41"/>
      <c r="J147" s="41">
        <v>1</v>
      </c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>
        <v>1</v>
      </c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</row>
    <row r="148" spans="1:55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>
        <v>1</v>
      </c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</row>
  </sheetData>
  <mergeCells count="2">
    <mergeCell ref="B3:AB3"/>
    <mergeCell ref="AC3:BC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3783-43BC-4154-B9AB-5738544EF3B0}">
  <dimension ref="A1:D30"/>
  <sheetViews>
    <sheetView workbookViewId="0">
      <selection activeCell="H29" sqref="H29"/>
    </sheetView>
  </sheetViews>
  <sheetFormatPr baseColWidth="10" defaultColWidth="8.83203125" defaultRowHeight="15" x14ac:dyDescent="0.2"/>
  <cols>
    <col min="1" max="1" width="14.5" bestFit="1" customWidth="1"/>
    <col min="2" max="2" width="10.5" bestFit="1" customWidth="1"/>
  </cols>
  <sheetData>
    <row r="1" spans="1:4" x14ac:dyDescent="0.2">
      <c r="A1" t="s">
        <v>414</v>
      </c>
    </row>
    <row r="3" spans="1:4" x14ac:dyDescent="0.2">
      <c r="A3" s="75" t="s">
        <v>415</v>
      </c>
      <c r="B3" s="75" t="s">
        <v>416</v>
      </c>
    </row>
    <row r="4" spans="1:4" x14ac:dyDescent="0.2">
      <c r="A4" s="41">
        <v>258.41399999999999</v>
      </c>
      <c r="B4" s="41">
        <v>155.369</v>
      </c>
      <c r="D4" s="41" t="s">
        <v>417</v>
      </c>
    </row>
    <row r="5" spans="1:4" x14ac:dyDescent="0.2">
      <c r="A5" s="41">
        <v>178.10300000000001</v>
      </c>
      <c r="B5" s="41">
        <v>168.10599999999999</v>
      </c>
    </row>
    <row r="6" spans="1:4" x14ac:dyDescent="0.2">
      <c r="A6" s="41">
        <v>178.44</v>
      </c>
      <c r="B6" s="41">
        <v>214.036</v>
      </c>
    </row>
    <row r="7" spans="1:4" x14ac:dyDescent="0.2">
      <c r="A7" s="41">
        <v>200.029</v>
      </c>
      <c r="B7" s="41">
        <v>209.73599999999999</v>
      </c>
    </row>
    <row r="8" spans="1:4" x14ac:dyDescent="0.2">
      <c r="A8" s="41">
        <v>232.45</v>
      </c>
      <c r="B8" s="41">
        <v>151.79599999999999</v>
      </c>
    </row>
    <row r="9" spans="1:4" x14ac:dyDescent="0.2">
      <c r="A9" s="41">
        <v>267.41399999999999</v>
      </c>
      <c r="B9" s="41">
        <v>91.694999999999993</v>
      </c>
    </row>
    <row r="10" spans="1:4" x14ac:dyDescent="0.2">
      <c r="A10" s="41">
        <v>178.78399999999999</v>
      </c>
      <c r="B10" s="41">
        <v>173.18899999999999</v>
      </c>
    </row>
    <row r="11" spans="1:4" x14ac:dyDescent="0.2">
      <c r="A11" s="41">
        <v>191.50899999999999</v>
      </c>
      <c r="B11" s="41">
        <v>116.148</v>
      </c>
    </row>
    <row r="12" spans="1:4" x14ac:dyDescent="0.2">
      <c r="A12" s="41">
        <v>296.036</v>
      </c>
      <c r="B12" s="41">
        <v>115.709</v>
      </c>
    </row>
    <row r="13" spans="1:4" x14ac:dyDescent="0.2">
      <c r="A13" s="41">
        <v>172.23500000000001</v>
      </c>
      <c r="B13" s="41">
        <v>120.13800000000001</v>
      </c>
    </row>
    <row r="14" spans="1:4" x14ac:dyDescent="0.2">
      <c r="A14" s="41">
        <v>223.94</v>
      </c>
      <c r="B14" s="41">
        <v>108.761</v>
      </c>
    </row>
    <row r="15" spans="1:4" x14ac:dyDescent="0.2">
      <c r="A15" s="41">
        <v>204.39</v>
      </c>
      <c r="B15" s="41">
        <v>162.94499999999999</v>
      </c>
    </row>
    <row r="16" spans="1:4" x14ac:dyDescent="0.2">
      <c r="A16" s="41">
        <v>233.756</v>
      </c>
      <c r="B16" s="41">
        <v>147.38800000000001</v>
      </c>
    </row>
    <row r="17" spans="1:2" x14ac:dyDescent="0.2">
      <c r="A17" s="41">
        <v>219.45400000000001</v>
      </c>
      <c r="B17" s="41">
        <v>180.19300000000001</v>
      </c>
    </row>
    <row r="18" spans="1:2" x14ac:dyDescent="0.2">
      <c r="A18" s="41">
        <v>144.11000000000001</v>
      </c>
      <c r="B18" s="41">
        <v>180.00299999999999</v>
      </c>
    </row>
    <row r="19" spans="1:2" x14ac:dyDescent="0.2">
      <c r="A19" s="41">
        <v>112.316</v>
      </c>
      <c r="B19" s="41">
        <v>149.01900000000001</v>
      </c>
    </row>
    <row r="20" spans="1:2" x14ac:dyDescent="0.2">
      <c r="A20" s="41">
        <v>157.44499999999999</v>
      </c>
      <c r="B20" s="41">
        <v>158.166</v>
      </c>
    </row>
    <row r="21" spans="1:2" x14ac:dyDescent="0.2">
      <c r="A21" s="41">
        <v>165.68700000000001</v>
      </c>
      <c r="B21" s="41">
        <v>144.81899999999999</v>
      </c>
    </row>
    <row r="22" spans="1:2" x14ac:dyDescent="0.2">
      <c r="A22" s="41">
        <v>114.65900000000001</v>
      </c>
      <c r="B22" s="41">
        <v>266.625</v>
      </c>
    </row>
    <row r="23" spans="1:2" x14ac:dyDescent="0.2">
      <c r="A23" s="41">
        <v>96.599000000000004</v>
      </c>
      <c r="B23" s="41">
        <v>120.039</v>
      </c>
    </row>
    <row r="24" spans="1:2" x14ac:dyDescent="0.2">
      <c r="A24" s="41">
        <v>180.34200000000001</v>
      </c>
      <c r="B24" s="41">
        <v>232.41200000000001</v>
      </c>
    </row>
    <row r="25" spans="1:2" x14ac:dyDescent="0.2">
      <c r="A25" s="41">
        <v>201.68700000000001</v>
      </c>
      <c r="B25" s="41">
        <v>112.113</v>
      </c>
    </row>
    <row r="26" spans="1:2" x14ac:dyDescent="0.2">
      <c r="A26" s="41">
        <v>297.625</v>
      </c>
      <c r="B26" s="41">
        <v>128.613</v>
      </c>
    </row>
    <row r="27" spans="1:2" x14ac:dyDescent="0.2">
      <c r="A27" s="41">
        <v>188.197</v>
      </c>
      <c r="B27" s="41">
        <v>118.871</v>
      </c>
    </row>
    <row r="28" spans="1:2" x14ac:dyDescent="0.2">
      <c r="A28" s="41"/>
      <c r="B28" s="41">
        <v>138.267</v>
      </c>
    </row>
    <row r="29" spans="1:2" x14ac:dyDescent="0.2">
      <c r="A29" s="41"/>
      <c r="B29" s="41">
        <v>182.23500000000001</v>
      </c>
    </row>
    <row r="30" spans="1:2" x14ac:dyDescent="0.2">
      <c r="A30" s="41"/>
      <c r="B30" s="41">
        <v>94.191999999999993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34751-0D1A-4F75-B988-74BAFAF9A847}">
  <dimension ref="A1:D44"/>
  <sheetViews>
    <sheetView topLeftCell="A10" workbookViewId="0">
      <selection activeCell="AA36" sqref="AA36"/>
    </sheetView>
  </sheetViews>
  <sheetFormatPr baseColWidth="10" defaultColWidth="8.83203125" defaultRowHeight="15" x14ac:dyDescent="0.2"/>
  <sheetData>
    <row r="1" spans="1:3" x14ac:dyDescent="0.2">
      <c r="A1" s="106" t="s">
        <v>418</v>
      </c>
      <c r="C1" s="110"/>
    </row>
    <row r="2" spans="1:3" x14ac:dyDescent="0.2">
      <c r="C2" s="110"/>
    </row>
    <row r="3" spans="1:3" x14ac:dyDescent="0.2">
      <c r="A3" s="106" t="s">
        <v>317</v>
      </c>
      <c r="B3" s="106" t="s">
        <v>419</v>
      </c>
      <c r="C3" s="111" t="s">
        <v>420</v>
      </c>
    </row>
    <row r="4" spans="1:3" x14ac:dyDescent="0.2">
      <c r="A4" t="s">
        <v>421</v>
      </c>
      <c r="B4">
        <v>9.9</v>
      </c>
      <c r="C4" s="110">
        <v>8.6999999999999993</v>
      </c>
    </row>
    <row r="5" spans="1:3" x14ac:dyDescent="0.2">
      <c r="A5" t="s">
        <v>422</v>
      </c>
      <c r="B5">
        <v>9.8000000000000007</v>
      </c>
      <c r="C5" s="110">
        <v>8.6999999999999993</v>
      </c>
    </row>
    <row r="6" spans="1:3" x14ac:dyDescent="0.2">
      <c r="A6" t="s">
        <v>423</v>
      </c>
      <c r="B6">
        <v>9.8000000000000007</v>
      </c>
      <c r="C6" s="110">
        <v>8.5</v>
      </c>
    </row>
    <row r="7" spans="1:3" x14ac:dyDescent="0.2">
      <c r="A7" t="s">
        <v>424</v>
      </c>
      <c r="B7">
        <v>9.3000000000000007</v>
      </c>
      <c r="C7" s="110">
        <v>8.5</v>
      </c>
    </row>
    <row r="8" spans="1:3" x14ac:dyDescent="0.2">
      <c r="A8" t="s">
        <v>425</v>
      </c>
      <c r="B8">
        <v>9.6</v>
      </c>
      <c r="C8" s="110">
        <v>8.6</v>
      </c>
    </row>
    <row r="9" spans="1:3" x14ac:dyDescent="0.2">
      <c r="A9" t="s">
        <v>426</v>
      </c>
      <c r="B9">
        <v>10.3</v>
      </c>
      <c r="C9" s="110">
        <v>8.9</v>
      </c>
    </row>
    <row r="10" spans="1:3" x14ac:dyDescent="0.2">
      <c r="A10" s="106" t="s">
        <v>399</v>
      </c>
      <c r="B10">
        <v>9.7799999999999994</v>
      </c>
      <c r="C10" s="72">
        <v>8.65</v>
      </c>
    </row>
    <row r="11" spans="1:3" x14ac:dyDescent="0.2">
      <c r="A11" s="106" t="s">
        <v>427</v>
      </c>
      <c r="B11">
        <v>0.14000000000000001</v>
      </c>
      <c r="C11" s="72">
        <v>0.06</v>
      </c>
    </row>
    <row r="12" spans="1:3" x14ac:dyDescent="0.2">
      <c r="C12" s="110"/>
    </row>
    <row r="13" spans="1:3" x14ac:dyDescent="0.2">
      <c r="C13" s="110"/>
    </row>
    <row r="14" spans="1:3" x14ac:dyDescent="0.2">
      <c r="A14" t="s">
        <v>428</v>
      </c>
      <c r="B14">
        <v>8.6</v>
      </c>
      <c r="C14" s="110">
        <v>8</v>
      </c>
    </row>
    <row r="15" spans="1:3" x14ac:dyDescent="0.2">
      <c r="A15" t="s">
        <v>429</v>
      </c>
      <c r="B15">
        <v>8.9</v>
      </c>
      <c r="C15" s="110">
        <v>8</v>
      </c>
    </row>
    <row r="16" spans="1:3" x14ac:dyDescent="0.2">
      <c r="A16" t="s">
        <v>430</v>
      </c>
      <c r="B16">
        <v>8.6999999999999993</v>
      </c>
      <c r="C16" s="110">
        <v>8.5</v>
      </c>
    </row>
    <row r="17" spans="1:4" x14ac:dyDescent="0.2">
      <c r="A17" t="s">
        <v>431</v>
      </c>
      <c r="B17">
        <v>8.6</v>
      </c>
      <c r="C17" s="110">
        <v>7.7</v>
      </c>
    </row>
    <row r="18" spans="1:4" x14ac:dyDescent="0.2">
      <c r="A18" t="s">
        <v>432</v>
      </c>
      <c r="B18">
        <v>9.8000000000000007</v>
      </c>
      <c r="C18" s="110">
        <v>8.5</v>
      </c>
    </row>
    <row r="19" spans="1:4" x14ac:dyDescent="0.2">
      <c r="A19" t="s">
        <v>433</v>
      </c>
      <c r="B19">
        <v>9.6999999999999993</v>
      </c>
      <c r="C19" s="110">
        <v>8.5</v>
      </c>
    </row>
    <row r="20" spans="1:4" x14ac:dyDescent="0.2">
      <c r="A20" s="106" t="s">
        <v>400</v>
      </c>
      <c r="B20">
        <v>9.0500000000000007</v>
      </c>
      <c r="C20" s="110">
        <v>8.1999999999999993</v>
      </c>
    </row>
    <row r="21" spans="1:4" x14ac:dyDescent="0.2">
      <c r="A21" s="106" t="s">
        <v>434</v>
      </c>
      <c r="B21">
        <v>0.23</v>
      </c>
      <c r="C21" s="110">
        <v>0.14000000000000001</v>
      </c>
    </row>
    <row r="22" spans="1:4" x14ac:dyDescent="0.2">
      <c r="C22" s="110"/>
    </row>
    <row r="23" spans="1:4" x14ac:dyDescent="0.2">
      <c r="A23" s="106" t="s">
        <v>435</v>
      </c>
      <c r="C23" s="110"/>
    </row>
    <row r="24" spans="1:4" x14ac:dyDescent="0.2">
      <c r="A24" s="106" t="s">
        <v>436</v>
      </c>
      <c r="B24" s="112">
        <f>B20/B10</f>
        <v>0.92535787321063412</v>
      </c>
      <c r="C24" s="72"/>
    </row>
    <row r="25" spans="1:4" x14ac:dyDescent="0.2">
      <c r="A25" s="106" t="s">
        <v>437</v>
      </c>
      <c r="B25" s="112">
        <f>C20/C10</f>
        <v>0.94797687861271662</v>
      </c>
      <c r="C25" s="72"/>
    </row>
    <row r="27" spans="1:4" x14ac:dyDescent="0.2">
      <c r="A27" s="106" t="s">
        <v>438</v>
      </c>
    </row>
    <row r="28" spans="1:4" x14ac:dyDescent="0.2">
      <c r="A28" t="s">
        <v>320</v>
      </c>
      <c r="B28" t="s">
        <v>439</v>
      </c>
      <c r="C28" t="s">
        <v>321</v>
      </c>
      <c r="D28" t="s">
        <v>439</v>
      </c>
    </row>
    <row r="29" spans="1:4" x14ac:dyDescent="0.2">
      <c r="A29">
        <v>18.5</v>
      </c>
      <c r="B29">
        <v>20.10869565217391</v>
      </c>
      <c r="C29">
        <v>17.25</v>
      </c>
      <c r="D29">
        <v>18.157894736842106</v>
      </c>
    </row>
    <row r="30" spans="1:4" x14ac:dyDescent="0.2">
      <c r="A30">
        <v>23.75</v>
      </c>
      <c r="B30">
        <v>25.815217391304348</v>
      </c>
      <c r="C30">
        <v>22.75</v>
      </c>
      <c r="D30">
        <v>23.947368421052634</v>
      </c>
    </row>
    <row r="31" spans="1:4" x14ac:dyDescent="0.2">
      <c r="A31">
        <v>18.25</v>
      </c>
      <c r="B31">
        <v>19.836956521739129</v>
      </c>
      <c r="C31">
        <v>16.25</v>
      </c>
      <c r="D31">
        <v>17.105263157894736</v>
      </c>
    </row>
    <row r="32" spans="1:4" x14ac:dyDescent="0.2">
      <c r="A32">
        <v>23.25</v>
      </c>
      <c r="B32">
        <v>25.271739130434781</v>
      </c>
      <c r="C32">
        <v>18.25</v>
      </c>
      <c r="D32">
        <v>19.210526315789476</v>
      </c>
    </row>
    <row r="33" spans="1:4" x14ac:dyDescent="0.2">
      <c r="A33">
        <v>17.25</v>
      </c>
      <c r="B33">
        <v>18.75</v>
      </c>
      <c r="C33">
        <v>13</v>
      </c>
      <c r="D33">
        <v>13.684210526315789</v>
      </c>
    </row>
    <row r="34" spans="1:4" x14ac:dyDescent="0.2">
      <c r="A34">
        <v>21</v>
      </c>
      <c r="B34">
        <v>22.826086956521738</v>
      </c>
      <c r="C34">
        <v>16.75</v>
      </c>
      <c r="D34">
        <v>17.631578947368421</v>
      </c>
    </row>
    <row r="35" spans="1:4" x14ac:dyDescent="0.2">
      <c r="A35">
        <v>20.75</v>
      </c>
      <c r="B35">
        <v>22.554347826086957</v>
      </c>
      <c r="C35">
        <v>16.25</v>
      </c>
      <c r="D35">
        <v>17.105263157894736</v>
      </c>
    </row>
    <row r="36" spans="1:4" x14ac:dyDescent="0.2">
      <c r="A36">
        <v>22</v>
      </c>
      <c r="B36">
        <v>23.913043478260867</v>
      </c>
      <c r="C36">
        <v>19.5</v>
      </c>
      <c r="D36">
        <v>20.526315789473685</v>
      </c>
    </row>
    <row r="38" spans="1:4" x14ac:dyDescent="0.2">
      <c r="A38">
        <v>20.59375</v>
      </c>
      <c r="B38">
        <v>22.384510869565219</v>
      </c>
      <c r="C38">
        <v>17.5</v>
      </c>
      <c r="D38">
        <v>18.421052631578952</v>
      </c>
    </row>
    <row r="39" spans="1:4" x14ac:dyDescent="0.2">
      <c r="A39">
        <v>2.3976830333827341</v>
      </c>
      <c r="B39">
        <v>2.6061772101986156</v>
      </c>
      <c r="C39">
        <v>2.8315820918449712</v>
      </c>
      <c r="D39">
        <v>2.9806127282578294</v>
      </c>
    </row>
    <row r="40" spans="1:4" x14ac:dyDescent="0.2">
      <c r="A40">
        <v>0.84770896602043122</v>
      </c>
      <c r="B40">
        <v>0.92142278915263964</v>
      </c>
      <c r="C40">
        <v>1.0011154493149843</v>
      </c>
      <c r="D40">
        <v>1.0538057361210236</v>
      </c>
    </row>
    <row r="42" spans="1:4" x14ac:dyDescent="0.2">
      <c r="A42" s="72" t="s">
        <v>1</v>
      </c>
      <c r="B42">
        <v>1.1812406791327283</v>
      </c>
      <c r="D42">
        <v>1.6374269005847999</v>
      </c>
    </row>
    <row r="43" spans="1:4" x14ac:dyDescent="0.2">
      <c r="A43" s="72" t="s">
        <v>440</v>
      </c>
      <c r="B43">
        <v>0.1375291403798744</v>
      </c>
      <c r="D43">
        <v>0.26494335362291821</v>
      </c>
    </row>
    <row r="44" spans="1:4" x14ac:dyDescent="0.2">
      <c r="A44" s="72" t="s">
        <v>3</v>
      </c>
      <c r="B44">
        <v>4.8623893886682854E-2</v>
      </c>
      <c r="D44">
        <v>9.3671620988535112E-2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5599-52C0-43DB-A67F-BFCAD267783F}">
  <dimension ref="A1:N22"/>
  <sheetViews>
    <sheetView workbookViewId="0">
      <selection activeCell="J17" sqref="J17"/>
    </sheetView>
  </sheetViews>
  <sheetFormatPr baseColWidth="10" defaultColWidth="8.83203125" defaultRowHeight="16" x14ac:dyDescent="0.2"/>
  <cols>
    <col min="1" max="1" width="37.1640625" style="28" customWidth="1"/>
    <col min="2" max="2" width="15.33203125" style="28" customWidth="1"/>
    <col min="3" max="3" width="11.1640625" style="62" customWidth="1"/>
    <col min="4" max="4" width="12.6640625" style="28" customWidth="1"/>
    <col min="5" max="5" width="11" style="62" customWidth="1"/>
    <col min="10" max="10" width="36.5" customWidth="1"/>
    <col min="13" max="13" width="10.5" customWidth="1"/>
  </cols>
  <sheetData>
    <row r="1" spans="1:14" x14ac:dyDescent="0.2">
      <c r="A1" s="28" t="s">
        <v>35</v>
      </c>
    </row>
    <row r="3" spans="1:14" x14ac:dyDescent="0.2">
      <c r="A3" s="14" t="s">
        <v>275</v>
      </c>
      <c r="J3" s="14"/>
      <c r="L3" s="62"/>
      <c r="M3" s="28"/>
      <c r="N3" s="62"/>
    </row>
    <row r="4" spans="1:14" x14ac:dyDescent="0.2">
      <c r="B4" s="28" t="s">
        <v>10</v>
      </c>
      <c r="C4" s="62" t="s">
        <v>206</v>
      </c>
      <c r="D4" s="28" t="s">
        <v>194</v>
      </c>
      <c r="E4" s="62" t="s">
        <v>206</v>
      </c>
      <c r="J4" s="28"/>
      <c r="K4" s="28"/>
      <c r="L4" s="62"/>
      <c r="M4" s="28"/>
      <c r="N4" s="62"/>
    </row>
    <row r="5" spans="1:14" x14ac:dyDescent="0.2">
      <c r="A5" s="14" t="s">
        <v>195</v>
      </c>
      <c r="B5" s="28">
        <v>36</v>
      </c>
      <c r="C5" s="62">
        <f>B5/B7*100</f>
        <v>83.720930232558146</v>
      </c>
      <c r="D5" s="28">
        <v>31</v>
      </c>
      <c r="E5" s="62">
        <f>D5/D7*100</f>
        <v>75.609756097560975</v>
      </c>
      <c r="J5" s="14"/>
      <c r="K5" s="28"/>
      <c r="L5" s="62"/>
      <c r="M5" s="28"/>
      <c r="N5" s="62"/>
    </row>
    <row r="6" spans="1:14" x14ac:dyDescent="0.2">
      <c r="A6" s="14" t="s">
        <v>196</v>
      </c>
      <c r="B6" s="28">
        <v>7</v>
      </c>
      <c r="C6" s="62">
        <f>B6/B7*100</f>
        <v>16.279069767441861</v>
      </c>
      <c r="D6" s="28">
        <v>10</v>
      </c>
      <c r="E6" s="62">
        <f>D6/D7*100</f>
        <v>24.390243902439025</v>
      </c>
      <c r="J6" s="14"/>
      <c r="K6" s="28"/>
      <c r="L6" s="62"/>
      <c r="M6" s="28"/>
      <c r="N6" s="62"/>
    </row>
    <row r="7" spans="1:14" x14ac:dyDescent="0.2">
      <c r="A7" s="14" t="s">
        <v>197</v>
      </c>
      <c r="B7" s="28">
        <f>SUM(B5:B6)</f>
        <v>43</v>
      </c>
      <c r="C7" s="62">
        <f>SUM(C5:C6)</f>
        <v>100</v>
      </c>
      <c r="D7" s="28">
        <f>SUM(D5:D6)</f>
        <v>41</v>
      </c>
      <c r="E7" s="62">
        <f>SUM(E5:E6)</f>
        <v>100</v>
      </c>
      <c r="J7" s="14"/>
      <c r="K7" s="28"/>
      <c r="L7" s="62"/>
      <c r="M7" s="28"/>
      <c r="N7" s="62"/>
    </row>
    <row r="8" spans="1:14" x14ac:dyDescent="0.2">
      <c r="B8" s="14" t="s">
        <v>274</v>
      </c>
      <c r="J8" s="28"/>
      <c r="K8" s="14"/>
      <c r="L8" s="62"/>
      <c r="M8" s="28"/>
      <c r="N8" s="62"/>
    </row>
    <row r="9" spans="1:14" x14ac:dyDescent="0.2">
      <c r="J9" s="28"/>
      <c r="K9" s="28"/>
      <c r="L9" s="62"/>
      <c r="M9" s="28"/>
      <c r="N9" s="62"/>
    </row>
    <row r="10" spans="1:14" x14ac:dyDescent="0.2">
      <c r="B10" s="14" t="s">
        <v>198</v>
      </c>
      <c r="J10" s="28"/>
      <c r="K10" s="14"/>
      <c r="L10" s="62"/>
      <c r="M10" s="28"/>
      <c r="N10" s="62"/>
    </row>
    <row r="11" spans="1:14" x14ac:dyDescent="0.2">
      <c r="B11" s="28" t="s">
        <v>10</v>
      </c>
      <c r="C11" s="62" t="s">
        <v>206</v>
      </c>
      <c r="D11" s="28" t="s">
        <v>194</v>
      </c>
      <c r="E11" s="62" t="s">
        <v>206</v>
      </c>
      <c r="J11" s="28"/>
      <c r="K11" s="28"/>
      <c r="L11" s="62"/>
      <c r="M11" s="28"/>
      <c r="N11" s="62"/>
    </row>
    <row r="12" spans="1:14" x14ac:dyDescent="0.2">
      <c r="A12" s="14" t="s">
        <v>199</v>
      </c>
      <c r="B12" s="28">
        <v>7</v>
      </c>
      <c r="C12" s="62">
        <f>B12/B14*100</f>
        <v>16.279069767441861</v>
      </c>
      <c r="D12" s="28">
        <v>19</v>
      </c>
      <c r="E12" s="62">
        <f>D12/D14*100</f>
        <v>46.341463414634148</v>
      </c>
      <c r="J12" s="14"/>
      <c r="K12" s="28"/>
      <c r="L12" s="62"/>
      <c r="M12" s="28"/>
      <c r="N12" s="62"/>
    </row>
    <row r="13" spans="1:14" x14ac:dyDescent="0.2">
      <c r="A13" s="14" t="s">
        <v>200</v>
      </c>
      <c r="B13" s="28">
        <v>36</v>
      </c>
      <c r="C13" s="62">
        <f>B13/B14*100</f>
        <v>83.720930232558146</v>
      </c>
      <c r="D13" s="28">
        <v>22</v>
      </c>
      <c r="E13" s="62">
        <f>D13/D14*100</f>
        <v>53.658536585365859</v>
      </c>
      <c r="J13" s="14"/>
      <c r="K13" s="28"/>
      <c r="L13" s="62"/>
      <c r="M13" s="28"/>
      <c r="N13" s="62"/>
    </row>
    <row r="14" spans="1:14" x14ac:dyDescent="0.2">
      <c r="A14" s="14" t="s">
        <v>197</v>
      </c>
      <c r="B14" s="28">
        <f>SUM(B12:B13)</f>
        <v>43</v>
      </c>
      <c r="C14" s="62">
        <f>SUM(C12:C13)</f>
        <v>100</v>
      </c>
      <c r="D14" s="28">
        <f>SUM(D12:D13)</f>
        <v>41</v>
      </c>
      <c r="E14" s="62">
        <f>SUM(E12:E13)</f>
        <v>100</v>
      </c>
      <c r="J14" s="14"/>
      <c r="K14" s="28"/>
      <c r="L14" s="62"/>
      <c r="M14" s="28"/>
      <c r="N14" s="62"/>
    </row>
    <row r="15" spans="1:14" x14ac:dyDescent="0.2">
      <c r="B15" s="14" t="s">
        <v>207</v>
      </c>
      <c r="J15" s="28"/>
      <c r="K15" s="14"/>
      <c r="L15" s="62"/>
      <c r="M15" s="28"/>
      <c r="N15" s="62"/>
    </row>
    <row r="16" spans="1:14" x14ac:dyDescent="0.2">
      <c r="J16" s="28"/>
      <c r="K16" s="28"/>
      <c r="L16" s="62"/>
      <c r="M16" s="28"/>
      <c r="N16" s="62"/>
    </row>
    <row r="17" spans="1:14" x14ac:dyDescent="0.2">
      <c r="B17" s="14" t="s">
        <v>201</v>
      </c>
      <c r="J17" s="28"/>
      <c r="K17" s="14"/>
      <c r="L17" s="62"/>
      <c r="M17" s="28"/>
      <c r="N17" s="62"/>
    </row>
    <row r="18" spans="1:14" x14ac:dyDescent="0.2">
      <c r="B18" s="28" t="s">
        <v>10</v>
      </c>
      <c r="C18" s="62" t="s">
        <v>206</v>
      </c>
      <c r="D18" s="28" t="s">
        <v>194</v>
      </c>
      <c r="E18" s="62" t="s">
        <v>206</v>
      </c>
      <c r="J18" s="28"/>
      <c r="K18" s="28"/>
      <c r="L18" s="62"/>
      <c r="M18" s="28"/>
      <c r="N18" s="62"/>
    </row>
    <row r="19" spans="1:14" x14ac:dyDescent="0.2">
      <c r="A19" s="28" t="s">
        <v>202</v>
      </c>
      <c r="B19" s="28">
        <v>8</v>
      </c>
      <c r="C19" s="62">
        <f>B19/B21*100</f>
        <v>15.384615384615385</v>
      </c>
      <c r="D19" s="28">
        <v>22</v>
      </c>
      <c r="E19" s="62">
        <f>D19/D21*100</f>
        <v>34.920634920634917</v>
      </c>
      <c r="J19" s="28"/>
      <c r="K19" s="28"/>
      <c r="L19" s="62"/>
      <c r="M19" s="28"/>
      <c r="N19" s="62"/>
    </row>
    <row r="20" spans="1:14" x14ac:dyDescent="0.2">
      <c r="A20" s="28" t="s">
        <v>203</v>
      </c>
      <c r="B20" s="28">
        <v>44</v>
      </c>
      <c r="C20" s="62">
        <f>B20/B21*100</f>
        <v>84.615384615384613</v>
      </c>
      <c r="D20" s="28">
        <v>41</v>
      </c>
      <c r="E20" s="62">
        <f>D20/D21*100</f>
        <v>65.079365079365076</v>
      </c>
      <c r="J20" s="28"/>
      <c r="K20" s="28"/>
      <c r="L20" s="62"/>
      <c r="M20" s="28"/>
      <c r="N20" s="62"/>
    </row>
    <row r="21" spans="1:14" x14ac:dyDescent="0.2">
      <c r="A21" s="14" t="s">
        <v>197</v>
      </c>
      <c r="B21" s="28">
        <f>SUM(B19:B20)</f>
        <v>52</v>
      </c>
      <c r="C21" s="62">
        <f>SUM(C19:C20)</f>
        <v>100</v>
      </c>
      <c r="D21" s="28">
        <f>SUM(D19:D20)</f>
        <v>63</v>
      </c>
      <c r="E21" s="62">
        <f>SUM(E19:E20)</f>
        <v>100</v>
      </c>
      <c r="J21" s="14"/>
      <c r="K21" s="28"/>
      <c r="L21" s="62"/>
      <c r="M21" s="28"/>
      <c r="N21" s="62"/>
    </row>
    <row r="22" spans="1:14" x14ac:dyDescent="0.2">
      <c r="B22" s="14" t="s">
        <v>276</v>
      </c>
      <c r="J22" s="28"/>
      <c r="K22" s="14"/>
      <c r="L22" s="62"/>
      <c r="M22" s="28"/>
      <c r="N22" s="6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431D-3E4E-4F8C-9061-4246E72E80B7}">
  <dimension ref="A1:AJ42"/>
  <sheetViews>
    <sheetView workbookViewId="0">
      <selection activeCell="S22" sqref="S22:S23"/>
    </sheetView>
  </sheetViews>
  <sheetFormatPr baseColWidth="10" defaultColWidth="8.83203125" defaultRowHeight="16" x14ac:dyDescent="0.2"/>
  <cols>
    <col min="1" max="1" width="8.83203125" style="42"/>
    <col min="2" max="2" width="10.6640625" style="42" customWidth="1"/>
    <col min="3" max="3" width="10.6640625" style="79" customWidth="1"/>
    <col min="4" max="20" width="8.83203125" style="42"/>
    <col min="21" max="21" width="10.6640625" style="42" customWidth="1"/>
    <col min="22" max="22" width="10.6640625" style="79" customWidth="1"/>
    <col min="23" max="36" width="8.83203125" style="42"/>
  </cols>
  <sheetData>
    <row r="1" spans="1:36" ht="120" x14ac:dyDescent="0.2">
      <c r="A1" s="19"/>
      <c r="B1" s="88" t="s">
        <v>281</v>
      </c>
      <c r="C1" s="89" t="s">
        <v>292</v>
      </c>
      <c r="D1" s="89" t="s">
        <v>293</v>
      </c>
      <c r="E1" s="90" t="s">
        <v>294</v>
      </c>
      <c r="F1" s="91" t="s">
        <v>295</v>
      </c>
      <c r="G1" s="91" t="s">
        <v>296</v>
      </c>
      <c r="H1" s="92"/>
      <c r="I1" s="93" t="s">
        <v>297</v>
      </c>
      <c r="J1" s="92" t="s">
        <v>206</v>
      </c>
      <c r="K1" s="94" t="s">
        <v>298</v>
      </c>
      <c r="L1" s="95" t="s">
        <v>299</v>
      </c>
      <c r="M1" s="92" t="s">
        <v>206</v>
      </c>
      <c r="N1" s="96" t="s">
        <v>300</v>
      </c>
      <c r="O1" s="96" t="s">
        <v>301</v>
      </c>
      <c r="P1" s="96" t="s">
        <v>302</v>
      </c>
      <c r="Q1" s="92"/>
      <c r="R1" s="18"/>
      <c r="T1" s="19"/>
      <c r="U1" s="88" t="s">
        <v>281</v>
      </c>
      <c r="V1" s="89" t="s">
        <v>292</v>
      </c>
      <c r="W1" s="89" t="s">
        <v>293</v>
      </c>
      <c r="X1" s="90" t="s">
        <v>294</v>
      </c>
      <c r="Y1" s="91" t="s">
        <v>303</v>
      </c>
      <c r="Z1" s="91" t="s">
        <v>296</v>
      </c>
      <c r="AA1" s="92"/>
      <c r="AB1" s="93" t="s">
        <v>297</v>
      </c>
      <c r="AC1" s="92" t="s">
        <v>206</v>
      </c>
      <c r="AD1" s="94" t="s">
        <v>298</v>
      </c>
      <c r="AE1" s="95" t="s">
        <v>299</v>
      </c>
      <c r="AF1" s="92" t="s">
        <v>206</v>
      </c>
      <c r="AG1" s="96" t="s">
        <v>300</v>
      </c>
      <c r="AH1" s="96" t="s">
        <v>301</v>
      </c>
      <c r="AI1" s="96" t="s">
        <v>302</v>
      </c>
      <c r="AJ1" s="92"/>
    </row>
    <row r="2" spans="1:36" x14ac:dyDescent="0.2">
      <c r="A2" s="16" t="s">
        <v>10</v>
      </c>
      <c r="B2" s="63">
        <v>45684</v>
      </c>
      <c r="C2" s="97" t="s">
        <v>304</v>
      </c>
      <c r="D2" s="23">
        <v>1</v>
      </c>
      <c r="E2" s="18">
        <v>14.3</v>
      </c>
      <c r="F2" s="98">
        <v>-5693</v>
      </c>
      <c r="G2" s="10">
        <f t="shared" ref="G2:G13" si="0">F2/E2</f>
        <v>-398.11188811188811</v>
      </c>
      <c r="H2" s="42">
        <v>-5607</v>
      </c>
      <c r="I2" s="99">
        <f t="shared" ref="I2:I13" si="1">H2/E2</f>
        <v>-392.09790209790208</v>
      </c>
      <c r="J2" s="18">
        <f t="shared" ref="J2:J13" si="2">G2*100/I2</f>
        <v>101.53379703941502</v>
      </c>
      <c r="K2" s="98">
        <v>-12</v>
      </c>
      <c r="L2" s="18">
        <f t="shared" ref="L2:L13" si="3">K2/E2</f>
        <v>-0.83916083916083917</v>
      </c>
      <c r="M2" s="18">
        <f t="shared" ref="M2:M13" si="4">L2*100/G2</f>
        <v>0.21078517477604078</v>
      </c>
      <c r="N2" s="10" t="s">
        <v>305</v>
      </c>
      <c r="O2" s="10">
        <v>-505</v>
      </c>
      <c r="P2" s="10">
        <f t="shared" ref="P2:P9" si="5">O2/E2</f>
        <v>-35.314685314685313</v>
      </c>
      <c r="Q2" s="18"/>
      <c r="R2" s="18"/>
      <c r="T2" s="16" t="s">
        <v>306</v>
      </c>
      <c r="U2" s="63">
        <v>45666</v>
      </c>
      <c r="V2" s="97" t="s">
        <v>307</v>
      </c>
      <c r="W2" s="23">
        <v>2</v>
      </c>
      <c r="X2" s="18">
        <v>11.9</v>
      </c>
      <c r="Y2" s="98">
        <v>-3636</v>
      </c>
      <c r="Z2" s="10">
        <f t="shared" ref="Z2:Z14" si="6">Y2/X2</f>
        <v>-305.54621848739492</v>
      </c>
      <c r="AA2" s="42">
        <v>-4081</v>
      </c>
      <c r="AB2" s="99">
        <f t="shared" ref="AB2:AB14" si="7">AA2/X2</f>
        <v>-342.94117647058823</v>
      </c>
      <c r="AC2" s="18">
        <f t="shared" ref="AC2:AC14" si="8">Z2*100/AB2</f>
        <v>89.09580985052682</v>
      </c>
      <c r="AD2" s="98">
        <v>-9</v>
      </c>
      <c r="AE2" s="18">
        <f t="shared" ref="AE2:AE14" si="9">AD2/X2</f>
        <v>-0.75630252100840334</v>
      </c>
      <c r="AF2" s="18">
        <f t="shared" ref="AF2:AF14" si="10">AE2*100/Z2</f>
        <v>0.24752475247524755</v>
      </c>
      <c r="AG2" s="10" t="s">
        <v>305</v>
      </c>
      <c r="AH2" s="10">
        <v>-362</v>
      </c>
      <c r="AI2" s="10">
        <f t="shared" ref="AI2:AI14" si="11">AH2/X2</f>
        <v>-30.420168067226889</v>
      </c>
      <c r="AJ2" s="18"/>
    </row>
    <row r="3" spans="1:36" x14ac:dyDescent="0.2">
      <c r="A3" s="100"/>
      <c r="B3" s="63"/>
      <c r="C3" s="97"/>
      <c r="D3" s="23">
        <v>3</v>
      </c>
      <c r="E3" s="18">
        <v>11.9</v>
      </c>
      <c r="F3" s="98">
        <v>-4764</v>
      </c>
      <c r="G3" s="10">
        <f t="shared" si="0"/>
        <v>-400.33613445378148</v>
      </c>
      <c r="H3" s="18">
        <v>-4871</v>
      </c>
      <c r="I3" s="99">
        <f t="shared" si="1"/>
        <v>-409.32773109243698</v>
      </c>
      <c r="J3" s="18">
        <f t="shared" si="2"/>
        <v>97.803325805789356</v>
      </c>
      <c r="K3" s="98">
        <v>-11</v>
      </c>
      <c r="L3" s="18">
        <f t="shared" si="3"/>
        <v>-0.9243697478991596</v>
      </c>
      <c r="M3" s="18">
        <f t="shared" si="4"/>
        <v>0.23089840470193115</v>
      </c>
      <c r="N3" s="10" t="s">
        <v>305</v>
      </c>
      <c r="O3" s="10">
        <v>-389</v>
      </c>
      <c r="P3" s="10">
        <f t="shared" si="5"/>
        <v>-32.689075630252098</v>
      </c>
      <c r="Q3" s="18"/>
      <c r="R3" s="18"/>
      <c r="T3" s="100"/>
      <c r="U3" s="63">
        <v>45673</v>
      </c>
      <c r="V3" s="97" t="s">
        <v>307</v>
      </c>
      <c r="W3" s="23">
        <v>1</v>
      </c>
      <c r="X3" s="18">
        <v>14.4</v>
      </c>
      <c r="Y3" s="98">
        <v>-3975</v>
      </c>
      <c r="Z3" s="10">
        <f t="shared" si="6"/>
        <v>-276.04166666666669</v>
      </c>
      <c r="AA3" s="18">
        <v>-3896</v>
      </c>
      <c r="AB3" s="99">
        <f t="shared" si="7"/>
        <v>-270.55555555555554</v>
      </c>
      <c r="AC3" s="18">
        <f t="shared" si="8"/>
        <v>102.02772073921972</v>
      </c>
      <c r="AD3" s="98">
        <v>-56</v>
      </c>
      <c r="AE3" s="18">
        <f t="shared" si="9"/>
        <v>-3.8888888888888888</v>
      </c>
      <c r="AF3" s="18">
        <f t="shared" si="10"/>
        <v>1.4088050314465406</v>
      </c>
      <c r="AG3" s="10" t="s">
        <v>305</v>
      </c>
      <c r="AH3" s="10">
        <v>-386</v>
      </c>
      <c r="AI3" s="10">
        <f t="shared" si="11"/>
        <v>-26.805555555555554</v>
      </c>
      <c r="AJ3" s="18"/>
    </row>
    <row r="4" spans="1:36" x14ac:dyDescent="0.2">
      <c r="A4" s="18"/>
      <c r="B4" s="63">
        <v>45699</v>
      </c>
      <c r="C4" s="97" t="s">
        <v>308</v>
      </c>
      <c r="D4" s="23">
        <v>1</v>
      </c>
      <c r="E4" s="18">
        <v>13</v>
      </c>
      <c r="F4" s="98">
        <v>-2818</v>
      </c>
      <c r="G4" s="10">
        <f t="shared" si="0"/>
        <v>-216.76923076923077</v>
      </c>
      <c r="H4" s="18">
        <v>-3094</v>
      </c>
      <c r="I4" s="99">
        <f t="shared" si="1"/>
        <v>-238</v>
      </c>
      <c r="J4" s="18">
        <f t="shared" si="2"/>
        <v>91.079508726567553</v>
      </c>
      <c r="K4" s="98">
        <v>-1</v>
      </c>
      <c r="L4" s="18">
        <f t="shared" si="3"/>
        <v>-7.6923076923076927E-2</v>
      </c>
      <c r="M4" s="18">
        <f t="shared" si="4"/>
        <v>3.5486160397444996E-2</v>
      </c>
      <c r="N4" s="10" t="s">
        <v>305</v>
      </c>
      <c r="O4" s="10">
        <v>-248</v>
      </c>
      <c r="P4" s="10">
        <f t="shared" si="5"/>
        <v>-19.076923076923077</v>
      </c>
      <c r="Q4" s="18"/>
      <c r="R4" s="18"/>
      <c r="T4" s="18"/>
      <c r="U4" s="63"/>
      <c r="V4" s="97"/>
      <c r="W4" s="23">
        <v>3</v>
      </c>
      <c r="X4" s="18">
        <v>16.7</v>
      </c>
      <c r="Y4" s="98">
        <v>-4127</v>
      </c>
      <c r="Z4" s="10">
        <f t="shared" si="6"/>
        <v>-247.12574850299401</v>
      </c>
      <c r="AA4" s="18">
        <v>-4073</v>
      </c>
      <c r="AB4" s="99">
        <f t="shared" si="7"/>
        <v>-243.8922155688623</v>
      </c>
      <c r="AC4" s="18">
        <f t="shared" si="8"/>
        <v>101.32580407561993</v>
      </c>
      <c r="AD4" s="98">
        <v>-34</v>
      </c>
      <c r="AE4" s="18">
        <f t="shared" si="9"/>
        <v>-2.0359281437125749</v>
      </c>
      <c r="AF4" s="18">
        <f t="shared" si="10"/>
        <v>0.82384298521928767</v>
      </c>
      <c r="AG4" s="10" t="s">
        <v>305</v>
      </c>
      <c r="AH4" s="10">
        <v>-499</v>
      </c>
      <c r="AI4" s="10">
        <f t="shared" si="11"/>
        <v>-29.880239520958085</v>
      </c>
      <c r="AJ4" s="18"/>
    </row>
    <row r="5" spans="1:36" x14ac:dyDescent="0.2">
      <c r="A5" s="18"/>
      <c r="B5" s="63"/>
      <c r="C5" s="97"/>
      <c r="D5" s="23">
        <v>2</v>
      </c>
      <c r="E5" s="18">
        <v>14.1</v>
      </c>
      <c r="F5" s="98">
        <v>-6109</v>
      </c>
      <c r="G5" s="10">
        <f t="shared" si="0"/>
        <v>-433.26241134751774</v>
      </c>
      <c r="H5" s="18">
        <v>-6106</v>
      </c>
      <c r="I5" s="99">
        <f t="shared" si="1"/>
        <v>-433.04964539007091</v>
      </c>
      <c r="J5" s="18">
        <f t="shared" si="2"/>
        <v>100.0491320013102</v>
      </c>
      <c r="K5" s="98">
        <v>-96</v>
      </c>
      <c r="L5" s="18">
        <f t="shared" si="3"/>
        <v>-6.8085106382978724</v>
      </c>
      <c r="M5" s="18">
        <f t="shared" si="4"/>
        <v>1.5714519561302995</v>
      </c>
      <c r="N5" s="10" t="s">
        <v>305</v>
      </c>
      <c r="O5" s="10">
        <v>-431</v>
      </c>
      <c r="P5" s="10">
        <f t="shared" si="5"/>
        <v>-30.567375886524822</v>
      </c>
      <c r="Q5" s="18"/>
      <c r="R5" s="18"/>
      <c r="T5" s="18"/>
      <c r="U5" s="63">
        <v>45713</v>
      </c>
      <c r="V5" s="97" t="s">
        <v>304</v>
      </c>
      <c r="W5" s="23">
        <v>1</v>
      </c>
      <c r="X5" s="18">
        <v>12.4</v>
      </c>
      <c r="Y5" s="98">
        <v>-5077</v>
      </c>
      <c r="Z5" s="10">
        <f t="shared" si="6"/>
        <v>-409.43548387096774</v>
      </c>
      <c r="AA5" s="18">
        <v>-5217</v>
      </c>
      <c r="AB5" s="99">
        <f t="shared" si="7"/>
        <v>-420.72580645161287</v>
      </c>
      <c r="AC5" s="18">
        <f t="shared" si="8"/>
        <v>97.31646540157179</v>
      </c>
      <c r="AD5" s="98">
        <v>-97</v>
      </c>
      <c r="AE5" s="18">
        <f t="shared" si="9"/>
        <v>-7.82258064516129</v>
      </c>
      <c r="AF5" s="18">
        <f t="shared" si="10"/>
        <v>1.9105771124679929</v>
      </c>
      <c r="AG5" s="10" t="s">
        <v>305</v>
      </c>
      <c r="AH5" s="10">
        <v>-405</v>
      </c>
      <c r="AI5" s="10">
        <f t="shared" si="11"/>
        <v>-32.661290322580648</v>
      </c>
      <c r="AJ5" s="18"/>
    </row>
    <row r="6" spans="1:36" x14ac:dyDescent="0.2">
      <c r="A6" s="18"/>
      <c r="B6" s="63"/>
      <c r="C6" s="97"/>
      <c r="D6" s="27">
        <v>3</v>
      </c>
      <c r="E6" s="10">
        <v>14.3</v>
      </c>
      <c r="F6" s="10">
        <v>-2449</v>
      </c>
      <c r="G6" s="10">
        <f t="shared" si="0"/>
        <v>-171.25874125874125</v>
      </c>
      <c r="H6" s="18">
        <v>-3144</v>
      </c>
      <c r="I6" s="99">
        <f t="shared" si="1"/>
        <v>-219.86013986013984</v>
      </c>
      <c r="J6" s="18">
        <f t="shared" si="2"/>
        <v>77.894402035623415</v>
      </c>
      <c r="K6" s="18">
        <v>-43</v>
      </c>
      <c r="L6" s="18">
        <f t="shared" si="3"/>
        <v>-3.0069930069930066</v>
      </c>
      <c r="M6" s="18">
        <f t="shared" si="4"/>
        <v>1.7558187015108209</v>
      </c>
      <c r="N6" s="10" t="s">
        <v>305</v>
      </c>
      <c r="O6" s="10">
        <v>-166</v>
      </c>
      <c r="P6" s="10">
        <f t="shared" si="5"/>
        <v>-11.608391608391608</v>
      </c>
      <c r="Q6" s="18"/>
      <c r="R6" s="18"/>
      <c r="T6" s="18"/>
      <c r="U6" s="63"/>
      <c r="V6" s="97"/>
      <c r="W6" s="23">
        <v>3</v>
      </c>
      <c r="X6" s="18">
        <v>11.4</v>
      </c>
      <c r="Y6" s="98">
        <v>-4132</v>
      </c>
      <c r="Z6" s="10">
        <f t="shared" si="6"/>
        <v>-362.45614035087721</v>
      </c>
      <c r="AA6" s="18">
        <v>-3954</v>
      </c>
      <c r="AB6" s="99">
        <f t="shared" si="7"/>
        <v>-346.84210526315786</v>
      </c>
      <c r="AC6" s="18">
        <f t="shared" si="8"/>
        <v>104.50177035913001</v>
      </c>
      <c r="AD6" s="98">
        <v>-109</v>
      </c>
      <c r="AE6" s="18">
        <f t="shared" si="9"/>
        <v>-9.5614035087719298</v>
      </c>
      <c r="AF6" s="18">
        <f t="shared" si="10"/>
        <v>2.6379477250726038</v>
      </c>
      <c r="AG6" s="10" t="s">
        <v>305</v>
      </c>
      <c r="AH6" s="10">
        <v>-199</v>
      </c>
      <c r="AI6" s="10">
        <f t="shared" si="11"/>
        <v>-17.456140350877192</v>
      </c>
      <c r="AJ6" s="18"/>
    </row>
    <row r="7" spans="1:36" x14ac:dyDescent="0.2">
      <c r="A7" s="18"/>
      <c r="B7" s="63">
        <v>45700</v>
      </c>
      <c r="C7" s="97" t="s">
        <v>304</v>
      </c>
      <c r="D7" s="27">
        <v>3</v>
      </c>
      <c r="E7" s="10">
        <v>11.6</v>
      </c>
      <c r="F7" s="10">
        <v>-5329</v>
      </c>
      <c r="G7" s="10">
        <f t="shared" si="0"/>
        <v>-459.39655172413796</v>
      </c>
      <c r="H7" s="10">
        <v>-5552</v>
      </c>
      <c r="I7" s="99">
        <f t="shared" si="1"/>
        <v>-478.62068965517244</v>
      </c>
      <c r="J7" s="18">
        <f t="shared" si="2"/>
        <v>95.983429394812688</v>
      </c>
      <c r="K7" s="10">
        <v>-106</v>
      </c>
      <c r="L7" s="18">
        <f t="shared" si="3"/>
        <v>-9.1379310344827598</v>
      </c>
      <c r="M7" s="18">
        <f t="shared" si="4"/>
        <v>1.9891161568774629</v>
      </c>
      <c r="N7" s="10" t="s">
        <v>305</v>
      </c>
      <c r="O7" s="10">
        <v>-477</v>
      </c>
      <c r="P7" s="10">
        <f t="shared" si="5"/>
        <v>-41.120689655172413</v>
      </c>
      <c r="Q7" s="18"/>
      <c r="R7" s="18"/>
      <c r="T7" s="18"/>
      <c r="U7" s="63"/>
      <c r="V7" s="97"/>
      <c r="W7" s="27">
        <v>6</v>
      </c>
      <c r="X7" s="10">
        <v>14.1</v>
      </c>
      <c r="Y7" s="10">
        <v>-4136</v>
      </c>
      <c r="Z7" s="10">
        <f t="shared" si="6"/>
        <v>-293.33333333333331</v>
      </c>
      <c r="AA7" s="10">
        <v>-4342</v>
      </c>
      <c r="AB7" s="99">
        <f t="shared" si="7"/>
        <v>-307.94326241134752</v>
      </c>
      <c r="AC7" s="18">
        <f t="shared" si="8"/>
        <v>95.255642561031777</v>
      </c>
      <c r="AD7" s="10">
        <v>-121</v>
      </c>
      <c r="AE7" s="18">
        <f t="shared" si="9"/>
        <v>-8.5815602836879439</v>
      </c>
      <c r="AF7" s="18">
        <f t="shared" si="10"/>
        <v>2.9255319148936176</v>
      </c>
      <c r="AG7" s="10" t="s">
        <v>305</v>
      </c>
      <c r="AH7" s="10">
        <v>-391</v>
      </c>
      <c r="AI7" s="10">
        <f t="shared" si="11"/>
        <v>-27.730496453900709</v>
      </c>
      <c r="AJ7" s="18"/>
    </row>
    <row r="8" spans="1:36" x14ac:dyDescent="0.2">
      <c r="A8" s="18"/>
      <c r="B8" s="63">
        <v>45707</v>
      </c>
      <c r="C8" s="97" t="s">
        <v>309</v>
      </c>
      <c r="D8" s="27">
        <v>3</v>
      </c>
      <c r="E8" s="10">
        <v>12.3</v>
      </c>
      <c r="F8" s="10">
        <v>-7186</v>
      </c>
      <c r="G8" s="10">
        <f t="shared" si="0"/>
        <v>-584.22764227642278</v>
      </c>
      <c r="H8" s="18">
        <v>-7663</v>
      </c>
      <c r="I8" s="99">
        <f t="shared" si="1"/>
        <v>-623.00813008130081</v>
      </c>
      <c r="J8" s="18">
        <f t="shared" si="2"/>
        <v>93.77528383139763</v>
      </c>
      <c r="K8" s="18">
        <v>-96</v>
      </c>
      <c r="L8" s="18">
        <f t="shared" si="3"/>
        <v>-7.8048780487804876</v>
      </c>
      <c r="M8" s="18">
        <f t="shared" si="4"/>
        <v>1.3359309768995269</v>
      </c>
      <c r="N8" s="10" t="s">
        <v>305</v>
      </c>
      <c r="O8" s="10">
        <v>-441</v>
      </c>
      <c r="P8" s="10">
        <f t="shared" si="5"/>
        <v>-35.853658536585364</v>
      </c>
      <c r="Q8" s="18"/>
      <c r="R8" s="18"/>
      <c r="T8" s="18"/>
      <c r="U8" s="63">
        <v>45735</v>
      </c>
      <c r="V8" s="97" t="s">
        <v>304</v>
      </c>
      <c r="W8" s="27">
        <v>1</v>
      </c>
      <c r="X8" s="10">
        <v>12.1</v>
      </c>
      <c r="Y8" s="10">
        <v>-3908</v>
      </c>
      <c r="Z8" s="10">
        <f t="shared" si="6"/>
        <v>-322.97520661157023</v>
      </c>
      <c r="AA8" s="18">
        <v>-3019</v>
      </c>
      <c r="AB8" s="99">
        <f t="shared" si="7"/>
        <v>-249.50413223140495</v>
      </c>
      <c r="AC8" s="18">
        <f t="shared" si="8"/>
        <v>129.44683670089435</v>
      </c>
      <c r="AD8" s="18">
        <v>-133</v>
      </c>
      <c r="AE8" s="18">
        <f t="shared" si="9"/>
        <v>-10.991735537190083</v>
      </c>
      <c r="AF8" s="18">
        <f t="shared" si="10"/>
        <v>3.4032753326509728</v>
      </c>
      <c r="AG8" s="10" t="s">
        <v>305</v>
      </c>
      <c r="AH8" s="10">
        <v>-262</v>
      </c>
      <c r="AI8" s="10">
        <f t="shared" si="11"/>
        <v>-21.652892561983471</v>
      </c>
      <c r="AJ8" s="18"/>
    </row>
    <row r="9" spans="1:36" x14ac:dyDescent="0.2">
      <c r="A9" s="18"/>
      <c r="B9" s="63"/>
      <c r="C9" s="97"/>
      <c r="D9" s="27">
        <v>4</v>
      </c>
      <c r="E9" s="10">
        <v>8.1999999999999993</v>
      </c>
      <c r="F9" s="10">
        <v>-3842</v>
      </c>
      <c r="G9" s="10">
        <f t="shared" si="0"/>
        <v>-468.53658536585368</v>
      </c>
      <c r="H9" s="18">
        <v>-4753</v>
      </c>
      <c r="I9" s="99">
        <f t="shared" si="1"/>
        <v>-579.63414634146352</v>
      </c>
      <c r="J9" s="18">
        <f t="shared" si="2"/>
        <v>80.833158005470224</v>
      </c>
      <c r="K9" s="18">
        <v>-78</v>
      </c>
      <c r="L9" s="18">
        <f t="shared" si="3"/>
        <v>-9.5121951219512209</v>
      </c>
      <c r="M9" s="18">
        <f t="shared" si="4"/>
        <v>2.0301926080166584</v>
      </c>
      <c r="N9" s="10" t="s">
        <v>305</v>
      </c>
      <c r="O9" s="10">
        <v>-291</v>
      </c>
      <c r="P9" s="10">
        <f t="shared" si="5"/>
        <v>-35.487804878048784</v>
      </c>
      <c r="Q9" s="18"/>
      <c r="R9" s="18"/>
      <c r="T9" s="18"/>
      <c r="U9" s="63"/>
      <c r="V9" s="97"/>
      <c r="W9" s="27">
        <v>4</v>
      </c>
      <c r="X9" s="10">
        <v>10.8</v>
      </c>
      <c r="Y9" s="10">
        <v>-3818</v>
      </c>
      <c r="Z9" s="10">
        <f t="shared" si="6"/>
        <v>-353.51851851851848</v>
      </c>
      <c r="AA9" s="10">
        <v>-3851</v>
      </c>
      <c r="AB9" s="99">
        <f t="shared" si="7"/>
        <v>-356.57407407407408</v>
      </c>
      <c r="AC9" s="18">
        <f t="shared" si="8"/>
        <v>99.143079719553342</v>
      </c>
      <c r="AD9" s="10">
        <v>-53</v>
      </c>
      <c r="AE9" s="18">
        <f t="shared" si="9"/>
        <v>-4.9074074074074074</v>
      </c>
      <c r="AF9" s="18">
        <f t="shared" si="10"/>
        <v>1.388161341016239</v>
      </c>
      <c r="AG9" s="10" t="s">
        <v>305</v>
      </c>
      <c r="AH9" s="10">
        <v>-220</v>
      </c>
      <c r="AI9" s="10">
        <f t="shared" si="11"/>
        <v>-20.37037037037037</v>
      </c>
      <c r="AJ9" s="18"/>
    </row>
    <row r="10" spans="1:36" x14ac:dyDescent="0.2">
      <c r="A10" s="18"/>
      <c r="B10" s="63">
        <v>45714</v>
      </c>
      <c r="C10" s="97" t="s">
        <v>310</v>
      </c>
      <c r="D10" s="27">
        <v>2</v>
      </c>
      <c r="E10" s="10">
        <v>12.6</v>
      </c>
      <c r="F10" s="10">
        <v>-7061</v>
      </c>
      <c r="G10" s="10">
        <f t="shared" si="0"/>
        <v>-560.39682539682542</v>
      </c>
      <c r="H10" s="18">
        <v>-8247</v>
      </c>
      <c r="I10" s="99">
        <f t="shared" si="1"/>
        <v>-654.52380952380952</v>
      </c>
      <c r="J10" s="18">
        <f t="shared" si="2"/>
        <v>85.619012974414943</v>
      </c>
      <c r="K10" s="18">
        <v>-96</v>
      </c>
      <c r="L10" s="18">
        <f t="shared" si="3"/>
        <v>-7.6190476190476195</v>
      </c>
      <c r="M10" s="18">
        <f t="shared" si="4"/>
        <v>1.3595807959212576</v>
      </c>
      <c r="N10" s="10" t="s">
        <v>305</v>
      </c>
      <c r="O10" s="10">
        <v>-404</v>
      </c>
      <c r="P10" s="10">
        <f>O10/E10</f>
        <v>-32.063492063492063</v>
      </c>
      <c r="Q10" s="18"/>
      <c r="R10" s="18"/>
      <c r="T10" s="18"/>
      <c r="U10" s="63">
        <v>45748</v>
      </c>
      <c r="V10" s="97" t="s">
        <v>311</v>
      </c>
      <c r="W10" s="27">
        <v>1</v>
      </c>
      <c r="X10" s="10">
        <v>9.6999999999999993</v>
      </c>
      <c r="Y10" s="10">
        <v>-3681</v>
      </c>
      <c r="Z10" s="10">
        <f t="shared" si="6"/>
        <v>-379.48453608247428</v>
      </c>
      <c r="AA10" s="18">
        <v>-4199</v>
      </c>
      <c r="AB10" s="99">
        <f t="shared" si="7"/>
        <v>-432.88659793814435</v>
      </c>
      <c r="AC10" s="18">
        <f t="shared" si="8"/>
        <v>87.6637294593951</v>
      </c>
      <c r="AD10" s="18">
        <v>-138</v>
      </c>
      <c r="AE10" s="18">
        <f t="shared" si="9"/>
        <v>-14.226804123711341</v>
      </c>
      <c r="AF10" s="18">
        <f t="shared" si="10"/>
        <v>3.748981255093724</v>
      </c>
      <c r="AG10" s="10" t="s">
        <v>305</v>
      </c>
      <c r="AH10" s="10">
        <v>-347</v>
      </c>
      <c r="AI10" s="10">
        <f t="shared" si="11"/>
        <v>-35.773195876288661</v>
      </c>
      <c r="AJ10" s="18"/>
    </row>
    <row r="11" spans="1:36" x14ac:dyDescent="0.2">
      <c r="A11" s="18"/>
      <c r="B11" s="63">
        <v>45736</v>
      </c>
      <c r="C11" s="97" t="s">
        <v>310</v>
      </c>
      <c r="D11" s="27">
        <v>1</v>
      </c>
      <c r="E11" s="10">
        <v>14.8</v>
      </c>
      <c r="F11" s="10">
        <v>-7284</v>
      </c>
      <c r="G11" s="10">
        <f t="shared" si="0"/>
        <v>-492.16216216216213</v>
      </c>
      <c r="H11" s="10">
        <v>-8135</v>
      </c>
      <c r="I11" s="99">
        <f t="shared" si="1"/>
        <v>-549.66216216216219</v>
      </c>
      <c r="J11" s="18">
        <f t="shared" si="2"/>
        <v>89.539028887523045</v>
      </c>
      <c r="K11" s="10">
        <v>-122</v>
      </c>
      <c r="L11" s="18">
        <f t="shared" si="3"/>
        <v>-8.2432432432432421</v>
      </c>
      <c r="M11" s="18">
        <f t="shared" si="4"/>
        <v>1.674903898956617</v>
      </c>
      <c r="N11" s="10" t="s">
        <v>305</v>
      </c>
      <c r="O11" s="10">
        <v>-541</v>
      </c>
      <c r="P11" s="10">
        <f>O11/E11</f>
        <v>-36.554054054054049</v>
      </c>
      <c r="Q11" s="18"/>
      <c r="R11" s="18"/>
      <c r="T11" s="18"/>
      <c r="U11" s="63"/>
      <c r="V11" s="97"/>
      <c r="W11" s="27">
        <v>2</v>
      </c>
      <c r="X11" s="10">
        <v>11.3</v>
      </c>
      <c r="Y11" s="10">
        <v>-3035</v>
      </c>
      <c r="Z11" s="10">
        <f t="shared" si="6"/>
        <v>-268.58407079646014</v>
      </c>
      <c r="AA11" s="10">
        <v>-3227</v>
      </c>
      <c r="AB11" s="99">
        <f t="shared" si="7"/>
        <v>-285.57522123893801</v>
      </c>
      <c r="AC11" s="18">
        <f t="shared" si="8"/>
        <v>94.050201425472579</v>
      </c>
      <c r="AD11" s="10">
        <v>-69</v>
      </c>
      <c r="AE11" s="18">
        <f t="shared" si="9"/>
        <v>-6.106194690265486</v>
      </c>
      <c r="AF11" s="18">
        <f t="shared" si="10"/>
        <v>2.2734761120263594</v>
      </c>
      <c r="AG11" s="10" t="s">
        <v>305</v>
      </c>
      <c r="AH11" s="10">
        <v>-202</v>
      </c>
      <c r="AI11" s="10">
        <f t="shared" si="11"/>
        <v>-17.876106194690266</v>
      </c>
      <c r="AJ11" s="18"/>
    </row>
    <row r="12" spans="1:36" x14ac:dyDescent="0.2">
      <c r="A12" s="18"/>
      <c r="B12" s="101"/>
      <c r="C12" s="102"/>
      <c r="D12" s="79">
        <v>2</v>
      </c>
      <c r="E12" s="42">
        <v>10.5</v>
      </c>
      <c r="F12" s="42">
        <v>-7284</v>
      </c>
      <c r="G12" s="42">
        <f t="shared" si="0"/>
        <v>-693.71428571428567</v>
      </c>
      <c r="H12" s="42">
        <v>-7052</v>
      </c>
      <c r="I12" s="99">
        <f t="shared" si="1"/>
        <v>-671.61904761904759</v>
      </c>
      <c r="J12" s="18">
        <f t="shared" si="2"/>
        <v>103.28984685195688</v>
      </c>
      <c r="K12" s="42">
        <v>-117</v>
      </c>
      <c r="L12" s="18">
        <f t="shared" si="3"/>
        <v>-11.142857142857142</v>
      </c>
      <c r="M12" s="18">
        <f t="shared" si="4"/>
        <v>1.6062602965403625</v>
      </c>
      <c r="N12" s="42" t="s">
        <v>305</v>
      </c>
      <c r="O12" s="42">
        <v>-416</v>
      </c>
      <c r="P12" s="42">
        <f>O12/E12</f>
        <v>-39.61904761904762</v>
      </c>
      <c r="Q12" s="18"/>
      <c r="R12" s="18"/>
      <c r="T12" s="18"/>
      <c r="U12" s="101"/>
      <c r="V12" s="102"/>
      <c r="W12" s="79">
        <v>3</v>
      </c>
      <c r="X12" s="42">
        <v>10.7</v>
      </c>
      <c r="Y12" s="42">
        <v>-4264</v>
      </c>
      <c r="Z12" s="42">
        <f t="shared" si="6"/>
        <v>-398.50467289719631</v>
      </c>
      <c r="AA12" s="42">
        <v>-4384</v>
      </c>
      <c r="AB12" s="99">
        <f t="shared" si="7"/>
        <v>-409.71962616822435</v>
      </c>
      <c r="AC12" s="18">
        <f t="shared" si="8"/>
        <v>97.262773722627728</v>
      </c>
      <c r="AD12" s="42">
        <v>-90</v>
      </c>
      <c r="AE12" s="18">
        <f t="shared" si="9"/>
        <v>-8.4112149532710294</v>
      </c>
      <c r="AF12" s="18">
        <f t="shared" si="10"/>
        <v>2.1106941838649158</v>
      </c>
      <c r="AG12" s="42" t="s">
        <v>305</v>
      </c>
      <c r="AH12" s="42">
        <v>-257</v>
      </c>
      <c r="AI12" s="42">
        <f t="shared" si="11"/>
        <v>-24.01869158878505</v>
      </c>
      <c r="AJ12" s="18"/>
    </row>
    <row r="13" spans="1:36" x14ac:dyDescent="0.2">
      <c r="A13" s="18"/>
      <c r="B13" s="101">
        <v>45750</v>
      </c>
      <c r="C13" s="79" t="s">
        <v>308</v>
      </c>
      <c r="D13" s="79">
        <v>1</v>
      </c>
      <c r="E13" s="42">
        <v>10.7</v>
      </c>
      <c r="F13" s="42">
        <v>-4654</v>
      </c>
      <c r="G13" s="42">
        <f t="shared" si="0"/>
        <v>-434.95327102803742</v>
      </c>
      <c r="H13" s="42">
        <v>-5140</v>
      </c>
      <c r="I13" s="99">
        <f t="shared" si="1"/>
        <v>-480.37383177570098</v>
      </c>
      <c r="J13" s="18">
        <f t="shared" si="2"/>
        <v>90.54474708171206</v>
      </c>
      <c r="K13" s="42">
        <v>-75</v>
      </c>
      <c r="L13" s="18">
        <f t="shared" si="3"/>
        <v>-7.0093457943925239</v>
      </c>
      <c r="M13" s="18">
        <f t="shared" si="4"/>
        <v>1.6115169746454663</v>
      </c>
      <c r="N13" s="42" t="s">
        <v>305</v>
      </c>
      <c r="O13" s="42">
        <v>-332</v>
      </c>
      <c r="P13" s="42">
        <f>O13/E13</f>
        <v>-31.028037383177573</v>
      </c>
      <c r="Q13" s="18"/>
      <c r="R13" s="18"/>
      <c r="T13" s="18"/>
      <c r="U13" s="101">
        <v>45749</v>
      </c>
      <c r="V13" s="79" t="s">
        <v>309</v>
      </c>
      <c r="W13" s="79">
        <v>1</v>
      </c>
      <c r="X13" s="42">
        <v>9.4</v>
      </c>
      <c r="Y13" s="42">
        <v>-2697</v>
      </c>
      <c r="Z13" s="42">
        <f t="shared" si="6"/>
        <v>-286.91489361702128</v>
      </c>
      <c r="AA13" s="42">
        <v>-2330</v>
      </c>
      <c r="AB13" s="99">
        <f t="shared" si="7"/>
        <v>-247.87234042553192</v>
      </c>
      <c r="AC13" s="18">
        <f t="shared" si="8"/>
        <v>115.75107296137338</v>
      </c>
      <c r="AD13" s="42">
        <v>-52</v>
      </c>
      <c r="AE13" s="18">
        <f t="shared" si="9"/>
        <v>-5.5319148936170208</v>
      </c>
      <c r="AF13" s="18">
        <f t="shared" si="10"/>
        <v>1.9280682239525397</v>
      </c>
      <c r="AG13" s="42" t="s">
        <v>305</v>
      </c>
      <c r="AH13" s="42">
        <v>-191</v>
      </c>
      <c r="AI13" s="42">
        <f t="shared" si="11"/>
        <v>-20.319148936170212</v>
      </c>
      <c r="AJ13" s="18"/>
    </row>
    <row r="14" spans="1:36" x14ac:dyDescent="0.2">
      <c r="A14" s="18"/>
      <c r="B14" s="63"/>
      <c r="C14" s="97"/>
      <c r="D14" s="23"/>
      <c r="E14" s="18"/>
      <c r="F14" s="98"/>
      <c r="H14" s="18"/>
      <c r="I14" s="99"/>
      <c r="J14" s="18"/>
      <c r="K14" s="98"/>
      <c r="L14" s="18"/>
      <c r="M14" s="18"/>
      <c r="Q14" s="18"/>
      <c r="R14" s="18"/>
      <c r="T14" s="18"/>
      <c r="U14" s="63"/>
      <c r="V14" s="97"/>
      <c r="W14" s="23">
        <v>2</v>
      </c>
      <c r="X14" s="18">
        <v>9.4</v>
      </c>
      <c r="Y14" s="98">
        <v>-2305</v>
      </c>
      <c r="Z14" s="10">
        <f t="shared" si="6"/>
        <v>-245.21276595744681</v>
      </c>
      <c r="AA14" s="18">
        <v>-2252</v>
      </c>
      <c r="AB14" s="99">
        <f t="shared" si="7"/>
        <v>-239.57446808510636</v>
      </c>
      <c r="AC14" s="18">
        <f t="shared" si="8"/>
        <v>102.35346358792185</v>
      </c>
      <c r="AD14" s="98">
        <v>-39</v>
      </c>
      <c r="AE14" s="18">
        <f t="shared" si="9"/>
        <v>-4.1489361702127656</v>
      </c>
      <c r="AF14" s="18">
        <f t="shared" si="10"/>
        <v>1.6919739696312364</v>
      </c>
      <c r="AG14" s="42" t="s">
        <v>305</v>
      </c>
      <c r="AH14" s="42">
        <v>-170</v>
      </c>
      <c r="AI14" s="42">
        <f t="shared" si="11"/>
        <v>-18.085106382978722</v>
      </c>
      <c r="AJ14" s="18"/>
    </row>
    <row r="15" spans="1:36" x14ac:dyDescent="0.2">
      <c r="A15" s="18"/>
      <c r="B15" s="63"/>
      <c r="C15" s="97"/>
      <c r="D15" s="23"/>
      <c r="E15" s="18"/>
      <c r="F15" s="98"/>
      <c r="H15" s="18"/>
      <c r="I15" s="99"/>
      <c r="J15" s="18"/>
      <c r="K15" s="98"/>
      <c r="L15" s="18"/>
      <c r="M15" s="18"/>
      <c r="Q15" s="18"/>
      <c r="R15" s="18"/>
      <c r="T15" s="18"/>
      <c r="U15" s="63"/>
      <c r="V15" s="97"/>
      <c r="W15" s="23"/>
      <c r="X15" s="18"/>
      <c r="Y15" s="98"/>
      <c r="Z15" s="10"/>
      <c r="AA15" s="18"/>
      <c r="AB15" s="99"/>
      <c r="AC15" s="18"/>
      <c r="AD15" s="98"/>
      <c r="AE15" s="18"/>
      <c r="AF15" s="18"/>
      <c r="AJ15" s="18"/>
    </row>
    <row r="16" spans="1:36" x14ac:dyDescent="0.2">
      <c r="A16" s="18"/>
      <c r="B16" s="63"/>
      <c r="C16" s="97"/>
      <c r="D16" s="10"/>
      <c r="E16" s="10"/>
      <c r="F16" s="10"/>
      <c r="H16" s="10"/>
      <c r="I16" s="99"/>
      <c r="J16" s="18"/>
      <c r="K16" s="10"/>
      <c r="L16" s="18"/>
      <c r="M16" s="18"/>
      <c r="Q16" s="18"/>
      <c r="T16" s="18"/>
      <c r="U16" s="63"/>
      <c r="V16" s="97"/>
      <c r="W16" s="10"/>
      <c r="X16" s="10"/>
      <c r="Y16" s="10"/>
      <c r="Z16" s="10"/>
      <c r="AA16" s="10"/>
      <c r="AB16" s="99"/>
      <c r="AC16" s="18"/>
      <c r="AD16" s="10"/>
      <c r="AE16" s="18"/>
      <c r="AF16" s="18"/>
      <c r="AJ16" s="18"/>
    </row>
    <row r="17" spans="1:36" x14ac:dyDescent="0.2">
      <c r="A17" s="18"/>
      <c r="B17" s="63"/>
      <c r="C17" s="97"/>
      <c r="D17" s="10"/>
      <c r="E17" s="10"/>
      <c r="F17" s="10"/>
      <c r="H17" s="10"/>
      <c r="I17" s="99"/>
      <c r="J17" s="18"/>
      <c r="K17" s="10"/>
      <c r="L17" s="18"/>
      <c r="M17" s="18"/>
      <c r="Q17" s="18"/>
      <c r="T17" s="18"/>
      <c r="U17" s="63"/>
      <c r="V17" s="97"/>
      <c r="W17" s="10"/>
      <c r="X17" s="10"/>
      <c r="Y17" s="10"/>
      <c r="Z17" s="18"/>
      <c r="AA17" s="10"/>
      <c r="AB17" s="99"/>
      <c r="AC17" s="18"/>
      <c r="AD17" s="10"/>
      <c r="AE17" s="18"/>
      <c r="AF17" s="18"/>
      <c r="AG17" s="10"/>
      <c r="AH17" s="10"/>
      <c r="AI17" s="10"/>
      <c r="AJ17" s="18"/>
    </row>
    <row r="18" spans="1:36" x14ac:dyDescent="0.2">
      <c r="A18" s="18"/>
      <c r="B18" s="63"/>
      <c r="C18" s="97"/>
      <c r="D18" s="10"/>
      <c r="E18" s="10"/>
      <c r="F18" s="10"/>
      <c r="G18" s="10"/>
      <c r="H18" s="10"/>
      <c r="I18" s="99"/>
      <c r="J18" s="18"/>
      <c r="K18" s="10"/>
      <c r="L18" s="18"/>
      <c r="M18" s="18"/>
      <c r="N18" s="10"/>
      <c r="O18" s="10"/>
      <c r="P18" s="10"/>
      <c r="Q18" s="18"/>
      <c r="T18" s="18"/>
      <c r="U18" s="63"/>
      <c r="V18" s="97"/>
      <c r="W18" s="10"/>
      <c r="X18" s="10"/>
      <c r="Y18" s="10"/>
      <c r="Z18" s="10"/>
      <c r="AA18" s="10"/>
      <c r="AB18" s="99"/>
      <c r="AC18" s="18"/>
      <c r="AD18" s="10"/>
      <c r="AE18" s="18"/>
      <c r="AF18" s="18"/>
      <c r="AG18" s="10"/>
      <c r="AH18" s="10"/>
      <c r="AI18" s="10"/>
      <c r="AJ18" s="18"/>
    </row>
    <row r="19" spans="1:36" x14ac:dyDescent="0.2">
      <c r="A19" s="18"/>
      <c r="B19" s="63"/>
      <c r="C19" s="97"/>
      <c r="D19" s="10"/>
      <c r="E19" s="10"/>
      <c r="F19" s="10"/>
      <c r="G19" s="10"/>
      <c r="H19" s="10"/>
      <c r="I19" s="99"/>
      <c r="J19" s="18"/>
      <c r="K19" s="10"/>
      <c r="L19" s="18"/>
      <c r="M19" s="18"/>
      <c r="N19" s="10"/>
      <c r="O19" s="10"/>
      <c r="P19" s="10"/>
      <c r="Q19" s="18"/>
      <c r="T19" s="18"/>
      <c r="U19" s="63"/>
      <c r="V19" s="97"/>
      <c r="W19" s="10"/>
      <c r="X19" s="10"/>
      <c r="Y19" s="10"/>
      <c r="Z19" s="10"/>
      <c r="AA19" s="10"/>
      <c r="AB19" s="99"/>
      <c r="AC19" s="18"/>
      <c r="AD19" s="10"/>
      <c r="AE19" s="18"/>
      <c r="AF19" s="18"/>
      <c r="AG19" s="10"/>
      <c r="AH19" s="10"/>
      <c r="AI19" s="10"/>
      <c r="AJ19" s="18"/>
    </row>
    <row r="20" spans="1:36" x14ac:dyDescent="0.2">
      <c r="A20" s="18"/>
      <c r="B20" s="63"/>
      <c r="C20" s="97"/>
      <c r="D20" s="10"/>
      <c r="E20" s="10"/>
      <c r="F20" s="10"/>
      <c r="G20" s="10"/>
      <c r="H20" s="10"/>
      <c r="I20" s="99"/>
      <c r="J20" s="18"/>
      <c r="K20" s="10"/>
      <c r="L20" s="18"/>
      <c r="M20" s="18"/>
      <c r="N20" s="10"/>
      <c r="O20" s="10"/>
      <c r="P20" s="10"/>
      <c r="Q20" s="18"/>
      <c r="T20" s="18"/>
      <c r="U20" s="63"/>
      <c r="V20" s="97"/>
      <c r="W20" s="10"/>
      <c r="X20" s="10"/>
      <c r="Y20" s="10"/>
      <c r="Z20" s="10"/>
      <c r="AA20" s="10"/>
      <c r="AB20" s="99"/>
      <c r="AC20" s="18"/>
      <c r="AD20" s="10"/>
      <c r="AE20" s="18"/>
      <c r="AF20" s="18"/>
      <c r="AG20" s="10"/>
      <c r="AH20" s="10"/>
      <c r="AI20" s="10"/>
      <c r="AJ20" s="18"/>
    </row>
    <row r="21" spans="1:36" x14ac:dyDescent="0.2">
      <c r="A21" s="18"/>
      <c r="B21" s="63"/>
      <c r="C21" s="97"/>
      <c r="D21" s="10"/>
      <c r="E21" s="10"/>
      <c r="F21" s="10"/>
      <c r="G21" s="10"/>
      <c r="H21" s="10"/>
      <c r="I21" s="99"/>
      <c r="J21" s="18"/>
      <c r="K21" s="10"/>
      <c r="L21" s="18"/>
      <c r="M21" s="18"/>
      <c r="N21" s="10"/>
      <c r="O21" s="10"/>
      <c r="P21" s="10"/>
      <c r="Q21" s="18"/>
      <c r="T21" s="18"/>
      <c r="U21" s="63"/>
      <c r="V21" s="97"/>
      <c r="W21" s="10"/>
      <c r="X21" s="10"/>
      <c r="Y21" s="10"/>
      <c r="Z21" s="10"/>
      <c r="AA21" s="10"/>
      <c r="AB21" s="99"/>
      <c r="AC21" s="18"/>
      <c r="AD21" s="10"/>
      <c r="AE21" s="18"/>
      <c r="AF21" s="18"/>
      <c r="AG21" s="10"/>
      <c r="AH21" s="10"/>
      <c r="AI21" s="10"/>
      <c r="AJ21" s="18"/>
    </row>
    <row r="22" spans="1:36" x14ac:dyDescent="0.2">
      <c r="A22" s="18"/>
      <c r="B22" s="63"/>
      <c r="C22" s="97"/>
      <c r="D22" s="18"/>
      <c r="E22" s="18"/>
      <c r="F22" s="98"/>
      <c r="G22" s="10"/>
      <c r="H22" s="18"/>
      <c r="I22" s="99"/>
      <c r="J22" s="18"/>
      <c r="K22" s="98"/>
      <c r="L22" s="18"/>
      <c r="M22" s="18"/>
      <c r="N22" s="10"/>
      <c r="O22" s="10"/>
      <c r="P22" s="10"/>
      <c r="Q22" s="18"/>
      <c r="T22" s="18"/>
      <c r="U22" s="63"/>
      <c r="V22" s="97"/>
      <c r="W22" s="18"/>
      <c r="X22" s="18"/>
      <c r="Y22" s="98"/>
      <c r="Z22" s="10"/>
      <c r="AA22" s="18"/>
      <c r="AB22" s="99"/>
      <c r="AC22" s="18"/>
      <c r="AD22" s="98"/>
      <c r="AE22" s="18"/>
      <c r="AF22" s="18"/>
      <c r="AG22" s="10"/>
      <c r="AH22" s="10"/>
      <c r="AI22" s="10"/>
      <c r="AJ22" s="18"/>
    </row>
    <row r="23" spans="1:36" x14ac:dyDescent="0.2">
      <c r="A23" s="18"/>
      <c r="B23" s="63"/>
      <c r="C23" s="97"/>
      <c r="D23" s="18"/>
      <c r="E23" s="18"/>
      <c r="F23" s="98"/>
      <c r="G23" s="10"/>
      <c r="H23" s="18"/>
      <c r="I23" s="99"/>
      <c r="J23" s="18"/>
      <c r="K23" s="98"/>
      <c r="L23" s="18"/>
      <c r="M23" s="18"/>
      <c r="N23" s="10"/>
      <c r="O23" s="10"/>
      <c r="P23" s="10"/>
      <c r="Q23" s="18"/>
      <c r="T23" s="18"/>
      <c r="U23" s="63"/>
      <c r="V23" s="97"/>
      <c r="W23" s="18"/>
      <c r="X23" s="18"/>
      <c r="Y23" s="98"/>
      <c r="Z23" s="10"/>
      <c r="AA23" s="18"/>
      <c r="AB23" s="99"/>
      <c r="AC23" s="18"/>
      <c r="AD23" s="98"/>
      <c r="AE23" s="18"/>
      <c r="AF23" s="18"/>
      <c r="AG23" s="10"/>
      <c r="AH23" s="10"/>
      <c r="AI23" s="10"/>
      <c r="AJ23" s="18"/>
    </row>
    <row r="24" spans="1:36" x14ac:dyDescent="0.2">
      <c r="A24" s="18"/>
      <c r="B24" s="63"/>
      <c r="C24" s="97"/>
      <c r="D24" s="18"/>
      <c r="E24" s="18"/>
      <c r="F24" s="98"/>
      <c r="G24" s="18"/>
      <c r="H24" s="18"/>
      <c r="I24" s="99"/>
      <c r="J24" s="18"/>
      <c r="K24" s="98"/>
      <c r="L24" s="18"/>
      <c r="M24" s="18"/>
      <c r="N24" s="10"/>
      <c r="O24" s="10"/>
      <c r="P24" s="10"/>
      <c r="Q24" s="18"/>
      <c r="T24" s="18"/>
      <c r="U24" s="63"/>
      <c r="V24" s="97"/>
      <c r="W24" s="18"/>
      <c r="X24" s="18"/>
      <c r="Y24" s="98"/>
      <c r="Z24" s="18"/>
      <c r="AA24" s="18"/>
      <c r="AB24" s="99"/>
      <c r="AC24" s="18"/>
      <c r="AD24" s="98"/>
      <c r="AE24" s="18"/>
      <c r="AF24" s="18"/>
      <c r="AG24" s="10"/>
      <c r="AH24" s="10"/>
      <c r="AI24" s="10"/>
      <c r="AJ24" s="18"/>
    </row>
    <row r="25" spans="1:36" x14ac:dyDescent="0.2">
      <c r="A25" s="18"/>
      <c r="B25" s="63"/>
      <c r="C25" s="97"/>
      <c r="D25" s="18"/>
      <c r="E25" s="18"/>
      <c r="F25" s="98"/>
      <c r="G25" s="18"/>
      <c r="H25" s="18"/>
      <c r="I25" s="99"/>
      <c r="J25" s="18"/>
      <c r="K25" s="98"/>
      <c r="L25" s="18"/>
      <c r="M25" s="18"/>
      <c r="N25" s="10"/>
      <c r="O25" s="10"/>
      <c r="P25" s="10"/>
      <c r="Q25" s="18"/>
      <c r="T25" s="18"/>
      <c r="U25" s="63"/>
      <c r="V25" s="97"/>
      <c r="W25" s="18"/>
      <c r="X25" s="18"/>
      <c r="Y25" s="98"/>
      <c r="Z25" s="18"/>
      <c r="AA25" s="18"/>
      <c r="AB25" s="99"/>
      <c r="AC25" s="18"/>
      <c r="AD25" s="98"/>
      <c r="AE25" s="18"/>
      <c r="AF25" s="18"/>
      <c r="AG25" s="10"/>
      <c r="AH25" s="10"/>
      <c r="AI25" s="10"/>
      <c r="AJ25" s="18"/>
    </row>
    <row r="26" spans="1:36" x14ac:dyDescent="0.2">
      <c r="A26" s="18"/>
      <c r="B26" s="63"/>
      <c r="C26" s="97"/>
      <c r="D26" s="27"/>
      <c r="E26" s="10"/>
      <c r="F26" s="10"/>
      <c r="G26" s="10"/>
      <c r="H26" s="10"/>
      <c r="I26" s="99"/>
      <c r="J26" s="18"/>
      <c r="K26" s="10"/>
      <c r="L26" s="18"/>
      <c r="M26" s="18"/>
      <c r="N26" s="10"/>
      <c r="O26" s="10"/>
      <c r="P26" s="10"/>
      <c r="Q26" s="18"/>
      <c r="R26" s="18"/>
      <c r="T26" s="18"/>
      <c r="U26" s="63"/>
      <c r="V26" s="97"/>
      <c r="W26" s="27"/>
      <c r="X26" s="10"/>
      <c r="Y26" s="10"/>
      <c r="Z26" s="10"/>
      <c r="AA26" s="10"/>
      <c r="AB26" s="99"/>
      <c r="AC26" s="18"/>
      <c r="AD26" s="10"/>
      <c r="AE26" s="18"/>
      <c r="AF26" s="18"/>
      <c r="AG26" s="10"/>
      <c r="AH26" s="10"/>
      <c r="AI26" s="10"/>
      <c r="AJ26" s="18"/>
    </row>
    <row r="27" spans="1:36" x14ac:dyDescent="0.2">
      <c r="A27" s="18"/>
      <c r="B27" s="63"/>
      <c r="C27" s="97"/>
      <c r="D27" s="27"/>
      <c r="E27" s="10"/>
      <c r="F27" s="10"/>
      <c r="G27" s="10"/>
      <c r="H27" s="10"/>
      <c r="I27" s="99"/>
      <c r="J27" s="18"/>
      <c r="K27" s="10"/>
      <c r="L27" s="18"/>
      <c r="M27" s="18"/>
      <c r="N27" s="10"/>
      <c r="O27" s="10"/>
      <c r="P27" s="10"/>
      <c r="Q27" s="18"/>
      <c r="R27" s="18"/>
      <c r="T27" s="18"/>
      <c r="U27" s="63"/>
      <c r="V27" s="97"/>
      <c r="W27" s="27"/>
      <c r="X27" s="10"/>
      <c r="Y27" s="10"/>
      <c r="Z27" s="10"/>
      <c r="AA27" s="10"/>
      <c r="AB27" s="99"/>
      <c r="AC27" s="18"/>
      <c r="AD27" s="10"/>
      <c r="AE27" s="18"/>
      <c r="AF27" s="18"/>
      <c r="AG27" s="10"/>
      <c r="AH27" s="10"/>
      <c r="AI27" s="10"/>
      <c r="AJ27" s="18"/>
    </row>
    <row r="28" spans="1:36" x14ac:dyDescent="0.2">
      <c r="A28" s="18"/>
      <c r="B28" s="63"/>
      <c r="C28" s="97"/>
      <c r="D28" s="23"/>
      <c r="E28" s="18"/>
      <c r="F28" s="98"/>
      <c r="G28" s="10"/>
      <c r="H28" s="18"/>
      <c r="I28" s="99"/>
      <c r="J28" s="18"/>
      <c r="K28" s="98"/>
      <c r="L28" s="18"/>
      <c r="M28" s="18"/>
      <c r="N28" s="10"/>
      <c r="O28" s="10"/>
      <c r="P28" s="10"/>
      <c r="Q28" s="18"/>
      <c r="R28" s="18"/>
      <c r="T28" s="18"/>
      <c r="U28" s="63"/>
      <c r="V28" s="97"/>
      <c r="W28" s="23"/>
      <c r="X28" s="18"/>
      <c r="Y28" s="98"/>
      <c r="Z28" s="10"/>
      <c r="AA28" s="18"/>
      <c r="AB28" s="99"/>
      <c r="AC28" s="18"/>
      <c r="AD28" s="98"/>
      <c r="AE28" s="18"/>
      <c r="AF28" s="18"/>
      <c r="AG28" s="10"/>
      <c r="AH28" s="10"/>
      <c r="AI28" s="10"/>
      <c r="AJ28" s="18"/>
    </row>
    <row r="29" spans="1:36" x14ac:dyDescent="0.2">
      <c r="A29" s="18"/>
      <c r="B29" s="63"/>
      <c r="C29" s="97"/>
      <c r="D29" s="23"/>
      <c r="E29" s="18"/>
      <c r="F29" s="98"/>
      <c r="G29" s="18"/>
      <c r="H29" s="18"/>
      <c r="I29" s="99"/>
      <c r="J29" s="18"/>
      <c r="K29" s="98"/>
      <c r="L29" s="18"/>
      <c r="M29" s="18"/>
      <c r="N29" s="10"/>
      <c r="O29" s="10"/>
      <c r="P29" s="10"/>
      <c r="Q29" s="18"/>
      <c r="R29" s="18"/>
      <c r="T29" s="18"/>
      <c r="U29" s="63"/>
      <c r="V29" s="97"/>
      <c r="W29" s="23"/>
      <c r="X29" s="18"/>
      <c r="Y29" s="98"/>
      <c r="Z29" s="18"/>
      <c r="AA29" s="18"/>
      <c r="AB29" s="99"/>
      <c r="AC29" s="18"/>
      <c r="AD29" s="98"/>
      <c r="AE29" s="18"/>
      <c r="AF29" s="18"/>
      <c r="AG29" s="10"/>
      <c r="AH29" s="10"/>
      <c r="AI29" s="10"/>
      <c r="AJ29" s="18"/>
    </row>
    <row r="30" spans="1:36" x14ac:dyDescent="0.2">
      <c r="A30" s="18"/>
      <c r="B30" s="63"/>
      <c r="C30" s="97"/>
      <c r="D30" s="23"/>
      <c r="E30" s="18"/>
      <c r="F30" s="98"/>
      <c r="G30" s="18"/>
      <c r="H30" s="18"/>
      <c r="I30" s="99"/>
      <c r="J30" s="18"/>
      <c r="K30" s="98"/>
      <c r="L30" s="18"/>
      <c r="M30" s="18"/>
      <c r="N30" s="10"/>
      <c r="O30" s="10"/>
      <c r="P30" s="10"/>
      <c r="Q30" s="18"/>
      <c r="R30" s="18"/>
      <c r="T30" s="18"/>
      <c r="U30" s="63"/>
      <c r="V30" s="97"/>
      <c r="W30" s="23"/>
      <c r="X30" s="18"/>
      <c r="Y30" s="98"/>
      <c r="Z30" s="18"/>
      <c r="AA30" s="18"/>
      <c r="AB30" s="99"/>
      <c r="AC30" s="18"/>
      <c r="AD30" s="98"/>
      <c r="AE30" s="18"/>
      <c r="AF30" s="18"/>
      <c r="AG30" s="10"/>
      <c r="AH30" s="10"/>
      <c r="AI30" s="10"/>
      <c r="AJ30" s="18"/>
    </row>
    <row r="31" spans="1:36" x14ac:dyDescent="0.2">
      <c r="A31" s="18"/>
      <c r="B31" s="63"/>
      <c r="C31" s="97"/>
      <c r="D31" s="23"/>
      <c r="E31" s="18"/>
      <c r="F31" s="98"/>
      <c r="G31" s="18"/>
      <c r="H31" s="18"/>
      <c r="I31" s="99"/>
      <c r="J31" s="18"/>
      <c r="K31" s="98"/>
      <c r="L31" s="18"/>
      <c r="M31" s="18"/>
      <c r="N31" s="10"/>
      <c r="O31" s="10"/>
      <c r="P31" s="10"/>
      <c r="Q31" s="18"/>
      <c r="R31" s="18"/>
      <c r="T31" s="18"/>
      <c r="U31" s="63"/>
      <c r="V31" s="97"/>
      <c r="W31" s="23"/>
      <c r="X31" s="18"/>
      <c r="Y31" s="98"/>
      <c r="Z31" s="18"/>
      <c r="AA31" s="18"/>
      <c r="AB31" s="99"/>
      <c r="AC31" s="18"/>
      <c r="AD31" s="98"/>
      <c r="AE31" s="18"/>
      <c r="AF31" s="18"/>
      <c r="AG31" s="10"/>
      <c r="AH31" s="10"/>
      <c r="AI31" s="10"/>
      <c r="AJ31" s="18"/>
    </row>
    <row r="32" spans="1:36" x14ac:dyDescent="0.2">
      <c r="A32" s="18"/>
      <c r="B32" s="63"/>
      <c r="C32" s="97"/>
      <c r="D32" s="23"/>
      <c r="E32" s="18"/>
      <c r="F32" s="98"/>
      <c r="G32" s="18"/>
      <c r="H32" s="18"/>
      <c r="I32" s="99"/>
      <c r="J32" s="18"/>
      <c r="K32" s="98"/>
      <c r="L32" s="18"/>
      <c r="M32" s="18"/>
      <c r="N32" s="10"/>
      <c r="O32" s="10"/>
      <c r="P32" s="10"/>
      <c r="Q32" s="18"/>
      <c r="R32" s="18"/>
      <c r="T32" s="18"/>
      <c r="U32" s="63"/>
      <c r="V32" s="97"/>
      <c r="W32" s="23"/>
      <c r="X32" s="18"/>
      <c r="Y32" s="98"/>
      <c r="Z32" s="18"/>
      <c r="AA32" s="18"/>
      <c r="AB32" s="99"/>
      <c r="AC32" s="18"/>
      <c r="AD32" s="98"/>
      <c r="AE32" s="18"/>
      <c r="AF32" s="18"/>
      <c r="AG32" s="10"/>
      <c r="AH32" s="10"/>
      <c r="AI32" s="10"/>
      <c r="AJ32" s="18"/>
    </row>
    <row r="33" spans="1:36" x14ac:dyDescent="0.2">
      <c r="A33" s="18"/>
      <c r="B33" s="63"/>
      <c r="C33" s="97"/>
      <c r="D33" s="23"/>
      <c r="E33" s="18"/>
      <c r="F33" s="98"/>
      <c r="G33" s="18"/>
      <c r="H33" s="18"/>
      <c r="I33" s="99"/>
      <c r="J33" s="18"/>
      <c r="K33" s="98"/>
      <c r="L33" s="18"/>
      <c r="M33" s="18"/>
      <c r="N33" s="10"/>
      <c r="O33" s="10"/>
      <c r="P33" s="10"/>
      <c r="Q33" s="18"/>
      <c r="R33" s="18"/>
      <c r="T33" s="18"/>
      <c r="U33" s="63"/>
      <c r="V33" s="97"/>
      <c r="W33" s="23"/>
      <c r="X33" s="18"/>
      <c r="Y33" s="98"/>
      <c r="Z33" s="18"/>
      <c r="AA33" s="18"/>
      <c r="AB33" s="99"/>
      <c r="AC33" s="18"/>
      <c r="AD33" s="98"/>
      <c r="AE33" s="18"/>
      <c r="AF33" s="18"/>
      <c r="AG33" s="10"/>
      <c r="AH33" s="10"/>
      <c r="AI33" s="10"/>
      <c r="AJ33" s="18"/>
    </row>
    <row r="34" spans="1:36" x14ac:dyDescent="0.2">
      <c r="A34" s="18"/>
      <c r="B34" s="63"/>
      <c r="C34" s="97"/>
      <c r="D34" s="23"/>
      <c r="E34" s="18"/>
      <c r="F34" s="98"/>
      <c r="G34" s="18"/>
      <c r="H34" s="18"/>
      <c r="I34" s="99"/>
      <c r="J34" s="18"/>
      <c r="K34" s="98"/>
      <c r="L34" s="18"/>
      <c r="M34" s="18"/>
      <c r="N34" s="10"/>
      <c r="O34" s="10"/>
      <c r="P34" s="10"/>
      <c r="Q34" s="18"/>
      <c r="R34" s="18"/>
      <c r="T34" s="18"/>
      <c r="U34" s="63"/>
      <c r="V34" s="97"/>
      <c r="W34" s="23"/>
      <c r="X34" s="18"/>
      <c r="Y34" s="98"/>
      <c r="Z34" s="18"/>
      <c r="AA34" s="18"/>
      <c r="AB34" s="99"/>
      <c r="AC34" s="18"/>
      <c r="AD34" s="98"/>
      <c r="AE34" s="18"/>
      <c r="AF34" s="18"/>
      <c r="AG34" s="10"/>
      <c r="AH34" s="10"/>
      <c r="AI34" s="10"/>
      <c r="AJ34" s="18"/>
    </row>
    <row r="35" spans="1:36" x14ac:dyDescent="0.2">
      <c r="A35" s="18"/>
      <c r="B35" s="63"/>
      <c r="C35" s="97"/>
      <c r="D35" s="23"/>
      <c r="E35" s="18"/>
      <c r="F35" s="18"/>
      <c r="G35" s="18"/>
      <c r="H35" s="18"/>
      <c r="I35" s="99"/>
      <c r="J35" s="18"/>
      <c r="K35" s="18"/>
      <c r="L35" s="18"/>
      <c r="M35" s="18"/>
      <c r="N35" s="18"/>
      <c r="O35" s="18"/>
      <c r="P35" s="18"/>
      <c r="Q35" s="18"/>
      <c r="R35" s="18"/>
      <c r="T35" s="18"/>
      <c r="U35" s="63"/>
      <c r="V35" s="97"/>
      <c r="W35" s="23"/>
      <c r="X35" s="18"/>
      <c r="Y35" s="18"/>
      <c r="Z35" s="18"/>
      <c r="AA35" s="18"/>
      <c r="AB35" s="99"/>
      <c r="AC35" s="18"/>
      <c r="AD35" s="18"/>
      <c r="AE35" s="18"/>
      <c r="AF35" s="18"/>
      <c r="AG35" s="18"/>
      <c r="AH35" s="18"/>
      <c r="AI35" s="18"/>
      <c r="AJ35" s="18"/>
    </row>
    <row r="36" spans="1:36" x14ac:dyDescent="0.2">
      <c r="B36" s="63"/>
      <c r="C36" s="97"/>
      <c r="D36" s="23"/>
      <c r="E36" s="18"/>
      <c r="F36" s="18"/>
      <c r="G36" s="18"/>
      <c r="H36" s="18"/>
      <c r="I36" s="99"/>
      <c r="J36" s="18"/>
      <c r="K36" s="18"/>
      <c r="L36" s="18"/>
      <c r="M36" s="18"/>
      <c r="N36" s="18"/>
      <c r="O36" s="18"/>
      <c r="P36" s="18"/>
      <c r="Q36" s="18"/>
      <c r="R36" s="18"/>
      <c r="U36" s="63"/>
      <c r="V36" s="97"/>
      <c r="W36" s="23"/>
      <c r="X36" s="18"/>
      <c r="Y36" s="18"/>
      <c r="Z36" s="18"/>
      <c r="AA36" s="18"/>
      <c r="AB36" s="99"/>
      <c r="AC36" s="18"/>
      <c r="AD36" s="18"/>
      <c r="AE36" s="18"/>
      <c r="AF36" s="18"/>
      <c r="AG36" s="18"/>
      <c r="AH36" s="18"/>
      <c r="AI36" s="18"/>
      <c r="AJ36" s="18"/>
    </row>
    <row r="37" spans="1:36" x14ac:dyDescent="0.2">
      <c r="B37" s="63"/>
      <c r="C37" s="97"/>
      <c r="D37" s="23"/>
      <c r="E37" s="18"/>
      <c r="F37" s="18"/>
      <c r="G37" s="18"/>
      <c r="H37" s="18"/>
      <c r="I37" s="99"/>
      <c r="J37" s="18"/>
      <c r="K37" s="18"/>
      <c r="L37" s="18"/>
      <c r="M37" s="18"/>
      <c r="N37" s="18"/>
      <c r="O37" s="18"/>
      <c r="P37" s="18"/>
      <c r="Q37" s="18"/>
      <c r="R37" s="18"/>
      <c r="U37" s="63"/>
      <c r="V37" s="97"/>
      <c r="W37" s="23"/>
      <c r="X37" s="18"/>
      <c r="Y37" s="18"/>
      <c r="Z37" s="18"/>
      <c r="AA37" s="18"/>
      <c r="AB37" s="99"/>
      <c r="AC37" s="18"/>
      <c r="AD37" s="18"/>
      <c r="AE37" s="18"/>
      <c r="AF37" s="18"/>
      <c r="AG37" s="18"/>
      <c r="AH37" s="18"/>
      <c r="AI37" s="18"/>
      <c r="AJ37" s="18"/>
    </row>
    <row r="38" spans="1:36" x14ac:dyDescent="0.2">
      <c r="B38" s="18"/>
      <c r="C38" s="23"/>
      <c r="D38" s="23"/>
      <c r="E38" s="18"/>
      <c r="F38" s="18"/>
      <c r="G38" s="18"/>
      <c r="H38" s="18"/>
      <c r="I38" s="99"/>
      <c r="J38" s="18"/>
      <c r="K38" s="18"/>
      <c r="L38" s="18"/>
      <c r="M38" s="18"/>
      <c r="N38" s="18"/>
      <c r="O38" s="18"/>
      <c r="P38" s="18"/>
      <c r="Q38" s="18"/>
      <c r="R38" s="18"/>
      <c r="U38" s="18"/>
      <c r="V38" s="23"/>
      <c r="W38" s="23"/>
      <c r="X38" s="18"/>
      <c r="Y38" s="18"/>
      <c r="Z38" s="18"/>
      <c r="AA38" s="18"/>
      <c r="AB38" s="99"/>
      <c r="AC38" s="18"/>
      <c r="AD38" s="18"/>
      <c r="AE38" s="18"/>
      <c r="AF38" s="18"/>
      <c r="AG38" s="18"/>
      <c r="AH38" s="18"/>
      <c r="AI38" s="18"/>
      <c r="AJ38" s="18"/>
    </row>
    <row r="39" spans="1:36" x14ac:dyDescent="0.2">
      <c r="B39" s="18" t="s">
        <v>312</v>
      </c>
      <c r="C39" s="23"/>
      <c r="D39" s="23">
        <f>COUNT(D2:D37)</f>
        <v>12</v>
      </c>
      <c r="E39" s="18"/>
      <c r="F39" s="18"/>
      <c r="G39" s="18"/>
      <c r="H39" s="18"/>
      <c r="I39" s="99"/>
      <c r="J39" s="18"/>
      <c r="K39" s="18"/>
      <c r="L39" s="18"/>
      <c r="M39" s="18"/>
      <c r="N39" s="18"/>
      <c r="O39" s="18"/>
      <c r="P39" s="18"/>
      <c r="Q39" s="18"/>
      <c r="R39" s="18"/>
      <c r="U39" s="18" t="s">
        <v>312</v>
      </c>
      <c r="V39" s="23"/>
      <c r="W39" s="23">
        <f>COUNT(W2:W37)</f>
        <v>13</v>
      </c>
      <c r="X39" s="18"/>
      <c r="Y39" s="18"/>
      <c r="Z39" s="18"/>
      <c r="AA39" s="18"/>
      <c r="AB39" s="99"/>
      <c r="AC39" s="18"/>
      <c r="AD39" s="18"/>
      <c r="AE39" s="18"/>
      <c r="AF39" s="18"/>
      <c r="AG39" s="18"/>
      <c r="AH39" s="18"/>
      <c r="AI39" s="18"/>
      <c r="AJ39" s="18"/>
    </row>
    <row r="40" spans="1:36" x14ac:dyDescent="0.2">
      <c r="B40" s="18"/>
      <c r="C40" s="23"/>
      <c r="D40" s="11" t="s">
        <v>1</v>
      </c>
      <c r="E40" s="16">
        <f t="shared" ref="E40:M40" si="12">AVERAGE(E2:E37)</f>
        <v>12.358333333333333</v>
      </c>
      <c r="F40" s="16">
        <f t="shared" si="12"/>
        <v>-5372.75</v>
      </c>
      <c r="G40" s="16">
        <f t="shared" si="12"/>
        <v>-442.76047746740704</v>
      </c>
      <c r="H40" s="16">
        <f t="shared" si="12"/>
        <v>-5780.333333333333</v>
      </c>
      <c r="I40" s="16">
        <f t="shared" si="12"/>
        <v>-477.48143629993388</v>
      </c>
      <c r="J40" s="16">
        <f t="shared" si="12"/>
        <v>92.328722719666075</v>
      </c>
      <c r="K40" s="16">
        <f t="shared" si="12"/>
        <v>-71.083333333333329</v>
      </c>
      <c r="L40" s="16">
        <f t="shared" si="12"/>
        <v>-6.0104546095024132</v>
      </c>
      <c r="M40" s="16">
        <f t="shared" si="12"/>
        <v>1.2843285087811573</v>
      </c>
      <c r="N40" s="18"/>
      <c r="O40" s="18"/>
      <c r="P40" s="18"/>
      <c r="Q40" s="18"/>
      <c r="R40" s="18"/>
      <c r="U40" s="18"/>
      <c r="V40" s="23"/>
      <c r="W40" s="11" t="s">
        <v>1</v>
      </c>
      <c r="X40" s="16">
        <f t="shared" ref="X40:AF40" si="13">AVERAGE(X2:X37)</f>
        <v>11.869230769230768</v>
      </c>
      <c r="Y40" s="16">
        <f t="shared" si="13"/>
        <v>-3753.1538461538462</v>
      </c>
      <c r="Z40" s="16">
        <f t="shared" si="13"/>
        <v>-319.16409659176321</v>
      </c>
      <c r="AA40" s="16">
        <f t="shared" si="13"/>
        <v>-3755.7692307692309</v>
      </c>
      <c r="AB40" s="16">
        <f t="shared" si="13"/>
        <v>-319.58512168327292</v>
      </c>
      <c r="AC40" s="16">
        <f t="shared" si="13"/>
        <v>101.16879773571834</v>
      </c>
      <c r="AD40" s="16">
        <f t="shared" si="13"/>
        <v>-76.92307692307692</v>
      </c>
      <c r="AE40" s="16">
        <f t="shared" si="13"/>
        <v>-6.6900670589927804</v>
      </c>
      <c r="AF40" s="16">
        <f t="shared" si="13"/>
        <v>2.0383738415239443</v>
      </c>
      <c r="AG40" s="18"/>
      <c r="AH40" s="18"/>
      <c r="AI40" s="18"/>
      <c r="AJ40" s="18"/>
    </row>
    <row r="41" spans="1:36" x14ac:dyDescent="0.2">
      <c r="B41" s="18"/>
      <c r="C41" s="23"/>
      <c r="D41" s="23" t="s">
        <v>2</v>
      </c>
      <c r="E41" s="18">
        <f t="shared" ref="E41:M41" si="14">STDEV(E2:E37)</f>
        <v>1.9374107995106842</v>
      </c>
      <c r="F41" s="18">
        <f t="shared" si="14"/>
        <v>1716.1211614886317</v>
      </c>
      <c r="G41" s="18">
        <f t="shared" si="14"/>
        <v>144.26632555959182</v>
      </c>
      <c r="H41" s="18">
        <f t="shared" si="14"/>
        <v>1743.4990071344432</v>
      </c>
      <c r="I41" s="18">
        <f t="shared" si="14"/>
        <v>148.78168266239496</v>
      </c>
      <c r="J41" s="18">
        <f t="shared" si="14"/>
        <v>8.0224025916160109</v>
      </c>
      <c r="K41" s="18">
        <f t="shared" si="14"/>
        <v>43.324270614084483</v>
      </c>
      <c r="L41" s="18">
        <f t="shared" si="14"/>
        <v>3.7857449939486814</v>
      </c>
      <c r="M41" s="18">
        <f t="shared" si="14"/>
        <v>0.71038827216914324</v>
      </c>
      <c r="N41" s="18"/>
      <c r="O41" s="18"/>
      <c r="P41" s="18"/>
      <c r="Q41" s="18"/>
      <c r="R41" s="18"/>
      <c r="U41" s="18"/>
      <c r="V41" s="23"/>
      <c r="W41" s="23" t="s">
        <v>2</v>
      </c>
      <c r="X41" s="18">
        <f t="shared" ref="X41:AF41" si="15">STDEV(X2:X37)</f>
        <v>2.1410218025453234</v>
      </c>
      <c r="Y41" s="18">
        <f t="shared" si="15"/>
        <v>722.73056830258213</v>
      </c>
      <c r="Z41" s="18">
        <f t="shared" si="15"/>
        <v>56.362110237889546</v>
      </c>
      <c r="AA41" s="18">
        <f t="shared" si="15"/>
        <v>839.69212153881733</v>
      </c>
      <c r="AB41" s="18">
        <f t="shared" si="15"/>
        <v>70.55070042027593</v>
      </c>
      <c r="AC41" s="18">
        <f t="shared" si="15"/>
        <v>11.081326344110533</v>
      </c>
      <c r="AD41" s="18">
        <f t="shared" si="15"/>
        <v>40.833935108072261</v>
      </c>
      <c r="AE41" s="18">
        <f t="shared" si="15"/>
        <v>3.7350661393833335</v>
      </c>
      <c r="AF41" s="18">
        <f t="shared" si="15"/>
        <v>0.9851407027215674</v>
      </c>
      <c r="AG41" s="18"/>
      <c r="AH41" s="18"/>
      <c r="AI41" s="18"/>
      <c r="AJ41" s="18"/>
    </row>
    <row r="42" spans="1:36" x14ac:dyDescent="0.2">
      <c r="B42" s="18"/>
      <c r="C42" s="23"/>
      <c r="D42" s="11" t="s">
        <v>313</v>
      </c>
      <c r="E42" s="16" t="e">
        <f>E41/SQRT(#REF!)</f>
        <v>#REF!</v>
      </c>
      <c r="F42" s="16" t="e">
        <f>F41/SQRT(#REF!)</f>
        <v>#REF!</v>
      </c>
      <c r="G42" s="16" t="e">
        <f>G41/SQRT(#REF!)</f>
        <v>#REF!</v>
      </c>
      <c r="H42" s="16" t="e">
        <f>H41/SQRT(#REF!)</f>
        <v>#REF!</v>
      </c>
      <c r="I42" s="16" t="e">
        <f>I41/SQRT(#REF!)</f>
        <v>#REF!</v>
      </c>
      <c r="J42" s="16" t="e">
        <f>J41/SQRT(#REF!)</f>
        <v>#REF!</v>
      </c>
      <c r="K42" s="16" t="e">
        <f>K41/SQRT(#REF!)</f>
        <v>#REF!</v>
      </c>
      <c r="L42" s="16" t="e">
        <f>L41/SQRT(#REF!)</f>
        <v>#REF!</v>
      </c>
      <c r="M42" s="16" t="e">
        <f>M41/SQRT(#REF!)</f>
        <v>#REF!</v>
      </c>
      <c r="N42" s="18"/>
      <c r="O42" s="18"/>
      <c r="P42" s="18"/>
      <c r="Q42" s="18"/>
      <c r="R42" s="18"/>
      <c r="U42" s="18"/>
      <c r="V42" s="23"/>
      <c r="W42" s="11" t="s">
        <v>313</v>
      </c>
      <c r="X42" s="16" t="e">
        <f>X41/SQRT(#REF!)</f>
        <v>#REF!</v>
      </c>
      <c r="Y42" s="16" t="e">
        <f>Y41/SQRT(#REF!)</f>
        <v>#REF!</v>
      </c>
      <c r="Z42" s="16" t="e">
        <f>Z41/SQRT(#REF!)</f>
        <v>#REF!</v>
      </c>
      <c r="AA42" s="16" t="e">
        <f>AA41/SQRT(#REF!)</f>
        <v>#REF!</v>
      </c>
      <c r="AB42" s="16" t="e">
        <f>AB41/SQRT(#REF!)</f>
        <v>#REF!</v>
      </c>
      <c r="AC42" s="16" t="e">
        <f>AC41/SQRT(#REF!)</f>
        <v>#REF!</v>
      </c>
      <c r="AD42" s="16" t="e">
        <f>AD41/SQRT(#REF!)</f>
        <v>#REF!</v>
      </c>
      <c r="AE42" s="16" t="e">
        <f>AE41/SQRT(#REF!)</f>
        <v>#REF!</v>
      </c>
      <c r="AF42" s="16" t="e">
        <f>AF41/SQRT(#REF!)</f>
        <v>#REF!</v>
      </c>
      <c r="AG42" s="18"/>
      <c r="AH42" s="18"/>
      <c r="AI42" s="18"/>
      <c r="AJ42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5094-C8B8-48D2-A2E2-B254790623CA}">
  <dimension ref="A1:AV45"/>
  <sheetViews>
    <sheetView workbookViewId="0">
      <selection activeCell="AG37" sqref="AG37"/>
    </sheetView>
  </sheetViews>
  <sheetFormatPr baseColWidth="10" defaultColWidth="8.83203125" defaultRowHeight="16" x14ac:dyDescent="0.2"/>
  <cols>
    <col min="1" max="1" width="35.5" style="18" customWidth="1"/>
    <col min="2" max="27" width="5.83203125" style="8" customWidth="1"/>
    <col min="28" max="48" width="5.83203125" customWidth="1"/>
  </cols>
  <sheetData>
    <row r="1" spans="1:48" x14ac:dyDescent="0.2">
      <c r="A1" s="19" t="s">
        <v>42</v>
      </c>
    </row>
    <row r="2" spans="1:48" x14ac:dyDescent="0.2">
      <c r="A2" s="10" t="s">
        <v>14</v>
      </c>
    </row>
    <row r="3" spans="1:48" x14ac:dyDescent="0.2">
      <c r="A3" s="10"/>
      <c r="B3" s="26"/>
      <c r="C3" s="26"/>
      <c r="D3" s="26"/>
      <c r="E3" s="26"/>
      <c r="F3" s="26"/>
      <c r="G3" s="26"/>
      <c r="H3" s="26"/>
      <c r="I3" s="26"/>
      <c r="J3" s="26"/>
      <c r="K3" s="26"/>
      <c r="L3" s="12" t="s">
        <v>5</v>
      </c>
      <c r="M3" s="26"/>
      <c r="N3" s="26"/>
      <c r="O3" s="26"/>
      <c r="P3" s="26"/>
      <c r="Q3" s="26"/>
      <c r="R3" s="26"/>
      <c r="S3" s="26"/>
      <c r="T3" s="26"/>
      <c r="U3" s="26"/>
      <c r="W3" s="26"/>
      <c r="X3" s="26"/>
      <c r="Y3" s="26"/>
      <c r="Z3" s="26"/>
      <c r="AA3" s="26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s="8" customFormat="1" x14ac:dyDescent="0.2">
      <c r="A4" s="11" t="s">
        <v>4</v>
      </c>
      <c r="B4" s="1">
        <v>1</v>
      </c>
      <c r="C4" s="1">
        <f t="shared" ref="C4:Z4" si="0">B4+1</f>
        <v>2</v>
      </c>
      <c r="D4" s="1">
        <f t="shared" si="0"/>
        <v>3</v>
      </c>
      <c r="E4" s="1">
        <f t="shared" si="0"/>
        <v>4</v>
      </c>
      <c r="F4" s="1">
        <f t="shared" si="0"/>
        <v>5</v>
      </c>
      <c r="G4" s="1">
        <f t="shared" si="0"/>
        <v>6</v>
      </c>
      <c r="H4" s="1">
        <f t="shared" si="0"/>
        <v>7</v>
      </c>
      <c r="I4" s="1">
        <f t="shared" si="0"/>
        <v>8</v>
      </c>
      <c r="J4" s="1">
        <f t="shared" si="0"/>
        <v>9</v>
      </c>
      <c r="K4" s="1">
        <f t="shared" si="0"/>
        <v>10</v>
      </c>
      <c r="L4" s="1">
        <f t="shared" si="0"/>
        <v>11</v>
      </c>
      <c r="M4" s="1">
        <f t="shared" si="0"/>
        <v>12</v>
      </c>
      <c r="N4" s="1">
        <f t="shared" si="0"/>
        <v>13</v>
      </c>
      <c r="O4" s="1">
        <f t="shared" si="0"/>
        <v>14</v>
      </c>
      <c r="P4" s="1">
        <f t="shared" si="0"/>
        <v>15</v>
      </c>
      <c r="Q4" s="1">
        <f t="shared" si="0"/>
        <v>16</v>
      </c>
      <c r="R4" s="1">
        <f t="shared" si="0"/>
        <v>17</v>
      </c>
      <c r="S4" s="1">
        <f t="shared" si="0"/>
        <v>18</v>
      </c>
      <c r="T4" s="1">
        <f t="shared" si="0"/>
        <v>19</v>
      </c>
      <c r="U4" s="1">
        <f t="shared" si="0"/>
        <v>20</v>
      </c>
      <c r="V4" s="1">
        <f t="shared" si="0"/>
        <v>21</v>
      </c>
      <c r="W4" s="1">
        <f t="shared" si="0"/>
        <v>22</v>
      </c>
      <c r="X4" s="1">
        <f t="shared" si="0"/>
        <v>23</v>
      </c>
      <c r="Y4" s="1">
        <f t="shared" si="0"/>
        <v>24</v>
      </c>
      <c r="Z4" s="1">
        <f t="shared" si="0"/>
        <v>25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8" x14ac:dyDescent="0.2">
      <c r="A5" s="12" t="s">
        <v>9</v>
      </c>
      <c r="B5" s="2">
        <v>-60</v>
      </c>
      <c r="C5" s="2">
        <f t="shared" ref="C5:Z5" si="1">B5+10</f>
        <v>-50</v>
      </c>
      <c r="D5" s="2">
        <f t="shared" si="1"/>
        <v>-40</v>
      </c>
      <c r="E5" s="2">
        <f t="shared" si="1"/>
        <v>-30</v>
      </c>
      <c r="F5" s="2">
        <f t="shared" si="1"/>
        <v>-20</v>
      </c>
      <c r="G5" s="2">
        <f t="shared" si="1"/>
        <v>-10</v>
      </c>
      <c r="H5" s="2">
        <f t="shared" si="1"/>
        <v>0</v>
      </c>
      <c r="I5" s="2">
        <f t="shared" si="1"/>
        <v>10</v>
      </c>
      <c r="J5" s="2">
        <f t="shared" si="1"/>
        <v>20</v>
      </c>
      <c r="K5" s="2">
        <f t="shared" si="1"/>
        <v>30</v>
      </c>
      <c r="L5" s="2">
        <f t="shared" si="1"/>
        <v>40</v>
      </c>
      <c r="M5" s="2">
        <f t="shared" si="1"/>
        <v>50</v>
      </c>
      <c r="N5" s="2">
        <f t="shared" si="1"/>
        <v>60</v>
      </c>
      <c r="O5" s="2">
        <f t="shared" si="1"/>
        <v>70</v>
      </c>
      <c r="P5" s="2">
        <f t="shared" si="1"/>
        <v>80</v>
      </c>
      <c r="Q5" s="2">
        <f t="shared" si="1"/>
        <v>90</v>
      </c>
      <c r="R5" s="2">
        <f t="shared" si="1"/>
        <v>100</v>
      </c>
      <c r="S5" s="2">
        <f t="shared" si="1"/>
        <v>110</v>
      </c>
      <c r="T5" s="2">
        <f t="shared" si="1"/>
        <v>120</v>
      </c>
      <c r="U5" s="2">
        <f t="shared" si="1"/>
        <v>130</v>
      </c>
      <c r="V5" s="2">
        <f t="shared" si="1"/>
        <v>140</v>
      </c>
      <c r="W5" s="2">
        <f t="shared" si="1"/>
        <v>150</v>
      </c>
      <c r="X5" s="2">
        <f t="shared" si="1"/>
        <v>160</v>
      </c>
      <c r="Y5" s="2">
        <f t="shared" si="1"/>
        <v>170</v>
      </c>
      <c r="Z5" s="2">
        <f t="shared" si="1"/>
        <v>180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5" x14ac:dyDescent="0.2">
      <c r="A6" s="7" t="s">
        <v>36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3</v>
      </c>
      <c r="J6" s="1">
        <v>35</v>
      </c>
      <c r="K6" s="1">
        <v>45</v>
      </c>
      <c r="L6" s="1">
        <v>54</v>
      </c>
      <c r="M6" s="1">
        <v>66</v>
      </c>
      <c r="N6" s="1">
        <v>76</v>
      </c>
      <c r="O6" s="1">
        <v>67</v>
      </c>
      <c r="P6" s="1">
        <v>61</v>
      </c>
      <c r="Q6" s="1">
        <v>22</v>
      </c>
      <c r="R6" s="1">
        <v>16</v>
      </c>
      <c r="S6" s="1">
        <v>5</v>
      </c>
      <c r="T6" s="1">
        <v>6</v>
      </c>
      <c r="U6" s="1">
        <v>5</v>
      </c>
      <c r="V6" s="1">
        <v>5</v>
      </c>
      <c r="W6" s="1">
        <v>3</v>
      </c>
      <c r="X6" s="1">
        <v>4</v>
      </c>
      <c r="Y6" s="1">
        <v>5</v>
      </c>
      <c r="Z6" s="1">
        <v>4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ht="15" x14ac:dyDescent="0.2">
      <c r="A7" s="7" t="s">
        <v>37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61</v>
      </c>
      <c r="J7" s="1">
        <v>89</v>
      </c>
      <c r="K7" s="1">
        <v>89</v>
      </c>
      <c r="L7" s="1">
        <v>64</v>
      </c>
      <c r="M7" s="1">
        <v>48</v>
      </c>
      <c r="N7" s="1">
        <v>15</v>
      </c>
      <c r="O7" s="1">
        <v>16</v>
      </c>
      <c r="P7" s="1">
        <v>8</v>
      </c>
      <c r="Q7" s="1">
        <v>8</v>
      </c>
      <c r="R7" s="1">
        <v>6</v>
      </c>
      <c r="S7" s="1">
        <v>3</v>
      </c>
      <c r="T7" s="1">
        <v>4</v>
      </c>
      <c r="U7" s="1">
        <v>4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15" x14ac:dyDescent="0.2">
      <c r="A8" s="7" t="s">
        <v>38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13</v>
      </c>
      <c r="I8" s="1">
        <v>52</v>
      </c>
      <c r="J8" s="1">
        <v>76</v>
      </c>
      <c r="K8" s="1">
        <v>99</v>
      </c>
      <c r="L8" s="1">
        <v>120</v>
      </c>
      <c r="M8" s="1">
        <v>143</v>
      </c>
      <c r="N8" s="1">
        <v>157</v>
      </c>
      <c r="O8" s="1">
        <v>14</v>
      </c>
      <c r="P8" s="1">
        <v>3</v>
      </c>
      <c r="Q8" s="1">
        <v>4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15" x14ac:dyDescent="0.2">
      <c r="A9" s="7">
        <v>162030075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35</v>
      </c>
      <c r="J9" s="1">
        <v>59</v>
      </c>
      <c r="K9" s="1">
        <v>72</v>
      </c>
      <c r="L9" s="1">
        <v>84</v>
      </c>
      <c r="M9" s="1">
        <v>35</v>
      </c>
      <c r="N9" s="1">
        <v>9</v>
      </c>
      <c r="O9" s="1">
        <v>8</v>
      </c>
      <c r="P9" s="1">
        <v>6</v>
      </c>
      <c r="Q9" s="1">
        <v>5</v>
      </c>
      <c r="R9" s="1">
        <v>4</v>
      </c>
      <c r="S9" s="1">
        <v>4</v>
      </c>
      <c r="T9" s="1">
        <v>4</v>
      </c>
      <c r="U9" s="1">
        <v>4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5" x14ac:dyDescent="0.2">
      <c r="A10" s="7">
        <v>172240007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7</v>
      </c>
      <c r="I10" s="1">
        <v>39</v>
      </c>
      <c r="J10" s="1">
        <v>67</v>
      </c>
      <c r="K10" s="1">
        <v>133</v>
      </c>
      <c r="L10" s="1">
        <v>91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>
        <v>24</v>
      </c>
      <c r="X10" s="1">
        <v>32</v>
      </c>
      <c r="Y10" s="1">
        <v>25</v>
      </c>
      <c r="Z10" s="1">
        <v>22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15" x14ac:dyDescent="0.2">
      <c r="A11" s="7">
        <v>172240021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32</v>
      </c>
      <c r="I11" s="1">
        <v>92</v>
      </c>
      <c r="J11" s="1">
        <v>127</v>
      </c>
      <c r="K11" s="1">
        <v>150</v>
      </c>
      <c r="L11" s="1">
        <v>143</v>
      </c>
      <c r="M11" s="1">
        <v>71</v>
      </c>
      <c r="N11" s="1">
        <v>11</v>
      </c>
      <c r="O11" s="1">
        <v>9</v>
      </c>
      <c r="P11" s="1">
        <v>10</v>
      </c>
      <c r="Q11" s="1">
        <v>3</v>
      </c>
      <c r="R11" s="1">
        <v>6</v>
      </c>
      <c r="S11" s="1">
        <v>5</v>
      </c>
      <c r="T11" s="1">
        <v>6</v>
      </c>
      <c r="U11" s="1">
        <v>6</v>
      </c>
      <c r="V11" s="1">
        <v>5</v>
      </c>
      <c r="W11" s="1">
        <v>6</v>
      </c>
      <c r="X11" s="1">
        <v>5</v>
      </c>
      <c r="Y11" s="1">
        <v>7</v>
      </c>
      <c r="Z11" s="1">
        <v>9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15" x14ac:dyDescent="0.2">
      <c r="A12" s="7">
        <v>191280045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1</v>
      </c>
      <c r="I12" s="1">
        <v>30</v>
      </c>
      <c r="J12" s="1">
        <v>49</v>
      </c>
      <c r="K12" s="1">
        <v>12</v>
      </c>
      <c r="L12" s="1">
        <v>7</v>
      </c>
      <c r="M12" s="1">
        <v>3</v>
      </c>
      <c r="N12" s="1">
        <v>3</v>
      </c>
      <c r="O12" s="1">
        <v>3</v>
      </c>
      <c r="P12" s="1">
        <v>2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1</v>
      </c>
      <c r="W12" s="1">
        <v>2</v>
      </c>
      <c r="X12" s="1">
        <v>2</v>
      </c>
      <c r="Y12" s="1">
        <v>2</v>
      </c>
      <c r="Z12" s="1">
        <v>2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" x14ac:dyDescent="0.2">
      <c r="A13" s="7">
        <v>191290043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7</v>
      </c>
      <c r="I13" s="1">
        <v>52</v>
      </c>
      <c r="J13" s="1">
        <v>69</v>
      </c>
      <c r="K13" s="1">
        <v>81</v>
      </c>
      <c r="L13" s="1">
        <v>20</v>
      </c>
      <c r="M13" s="1">
        <v>27</v>
      </c>
      <c r="N13" s="1">
        <v>7</v>
      </c>
      <c r="O13" s="1">
        <v>5</v>
      </c>
      <c r="P13" s="1">
        <v>3</v>
      </c>
      <c r="Q13" s="1">
        <v>3</v>
      </c>
      <c r="R13" s="1">
        <v>2</v>
      </c>
      <c r="S13" s="1">
        <v>3</v>
      </c>
      <c r="T13" s="1">
        <v>3</v>
      </c>
      <c r="U13" s="1">
        <v>3</v>
      </c>
      <c r="V13" s="1">
        <v>4</v>
      </c>
      <c r="W13" s="1">
        <v>4</v>
      </c>
      <c r="X13" s="1">
        <v>6</v>
      </c>
      <c r="Y13" s="1">
        <v>4</v>
      </c>
      <c r="Z13" s="1">
        <v>2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" x14ac:dyDescent="0.2">
      <c r="A14" s="7">
        <v>191290052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37</v>
      </c>
      <c r="J14" s="1">
        <v>55</v>
      </c>
      <c r="K14" s="1">
        <v>70</v>
      </c>
      <c r="L14" s="1">
        <v>65</v>
      </c>
      <c r="M14" s="1">
        <v>12</v>
      </c>
      <c r="N14" s="1">
        <v>7</v>
      </c>
      <c r="O14" s="1">
        <v>9</v>
      </c>
      <c r="P14" s="1">
        <v>5</v>
      </c>
      <c r="Q14" s="1">
        <v>7</v>
      </c>
      <c r="R14" s="1">
        <v>5</v>
      </c>
      <c r="S14" s="1">
        <v>4</v>
      </c>
      <c r="T14" s="1">
        <v>4</v>
      </c>
      <c r="U14" s="1">
        <v>4</v>
      </c>
      <c r="V14" s="1">
        <v>3</v>
      </c>
      <c r="W14" s="1">
        <v>3</v>
      </c>
      <c r="X14" s="1">
        <v>4</v>
      </c>
      <c r="Y14" s="1">
        <v>2</v>
      </c>
      <c r="Z14" s="1">
        <v>2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" x14ac:dyDescent="0.2">
      <c r="A15" s="7">
        <v>198130062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</v>
      </c>
      <c r="J15" s="1">
        <v>9</v>
      </c>
      <c r="K15" s="1">
        <v>17</v>
      </c>
      <c r="L15" s="1">
        <v>9</v>
      </c>
      <c r="M15" s="1">
        <v>3</v>
      </c>
      <c r="N15" s="1">
        <v>4</v>
      </c>
      <c r="O15" s="1">
        <v>3</v>
      </c>
      <c r="P15" s="1">
        <v>3</v>
      </c>
      <c r="Q15" s="1">
        <v>3</v>
      </c>
      <c r="R15" s="1">
        <v>3</v>
      </c>
      <c r="S15" s="1">
        <v>3</v>
      </c>
      <c r="T15" s="1">
        <v>3</v>
      </c>
      <c r="U15" s="1">
        <v>2</v>
      </c>
      <c r="V15" s="1">
        <v>2</v>
      </c>
      <c r="W15" s="1">
        <v>3</v>
      </c>
      <c r="X15" s="1">
        <v>4</v>
      </c>
      <c r="Y15" s="1">
        <v>3</v>
      </c>
      <c r="Z15" s="1">
        <v>3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" x14ac:dyDescent="0.2">
      <c r="A16" s="7" t="s">
        <v>39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17</v>
      </c>
      <c r="J16" s="1">
        <v>37</v>
      </c>
      <c r="K16" s="1">
        <v>48</v>
      </c>
      <c r="L16" s="1">
        <v>55</v>
      </c>
      <c r="M16" s="1">
        <v>64</v>
      </c>
      <c r="N16" s="1">
        <v>70</v>
      </c>
      <c r="O16" s="1">
        <v>37</v>
      </c>
      <c r="P16" s="1">
        <v>3</v>
      </c>
      <c r="Q16" s="1">
        <v>2</v>
      </c>
      <c r="R16" s="1">
        <v>2</v>
      </c>
      <c r="S16" s="1">
        <v>1</v>
      </c>
      <c r="T16" s="1">
        <v>1</v>
      </c>
      <c r="U16" s="1">
        <v>1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x14ac:dyDescent="0.2">
      <c r="A17" s="1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x14ac:dyDescent="0.2">
      <c r="A18" s="1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x14ac:dyDescent="0.2">
      <c r="A19" s="1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x14ac:dyDescent="0.2">
      <c r="A20" s="14" t="s">
        <v>0</v>
      </c>
      <c r="B20" s="1">
        <f t="shared" ref="B20:Z20" si="2">COUNT(B6:B19)</f>
        <v>11</v>
      </c>
      <c r="C20" s="1">
        <f t="shared" si="2"/>
        <v>11</v>
      </c>
      <c r="D20" s="1">
        <f t="shared" si="2"/>
        <v>11</v>
      </c>
      <c r="E20" s="1">
        <f t="shared" si="2"/>
        <v>11</v>
      </c>
      <c r="F20" s="1">
        <f t="shared" si="2"/>
        <v>11</v>
      </c>
      <c r="G20" s="1">
        <f t="shared" si="2"/>
        <v>11</v>
      </c>
      <c r="H20" s="1">
        <f t="shared" si="2"/>
        <v>11</v>
      </c>
      <c r="I20" s="1">
        <f t="shared" si="2"/>
        <v>11</v>
      </c>
      <c r="J20" s="1">
        <f t="shared" si="2"/>
        <v>11</v>
      </c>
      <c r="K20" s="1">
        <f t="shared" si="2"/>
        <v>11</v>
      </c>
      <c r="L20" s="1">
        <f t="shared" si="2"/>
        <v>11</v>
      </c>
      <c r="M20" s="1">
        <f t="shared" si="2"/>
        <v>10</v>
      </c>
      <c r="N20" s="1">
        <f t="shared" si="2"/>
        <v>10</v>
      </c>
      <c r="O20" s="1">
        <f t="shared" si="2"/>
        <v>10</v>
      </c>
      <c r="P20" s="1">
        <f t="shared" si="2"/>
        <v>10</v>
      </c>
      <c r="Q20" s="1">
        <f t="shared" si="2"/>
        <v>10</v>
      </c>
      <c r="R20" s="1">
        <f t="shared" si="2"/>
        <v>9</v>
      </c>
      <c r="S20" s="1">
        <f t="shared" si="2"/>
        <v>9</v>
      </c>
      <c r="T20" s="1">
        <f t="shared" si="2"/>
        <v>9</v>
      </c>
      <c r="U20" s="1">
        <f t="shared" si="2"/>
        <v>9</v>
      </c>
      <c r="V20" s="1">
        <f t="shared" si="2"/>
        <v>7</v>
      </c>
      <c r="W20" s="1">
        <f t="shared" si="2"/>
        <v>8</v>
      </c>
      <c r="X20" s="1">
        <f t="shared" si="2"/>
        <v>8</v>
      </c>
      <c r="Y20" s="1">
        <f t="shared" si="2"/>
        <v>8</v>
      </c>
      <c r="Z20" s="1">
        <f t="shared" si="2"/>
        <v>8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x14ac:dyDescent="0.2">
      <c r="A21" s="14" t="s">
        <v>1</v>
      </c>
      <c r="B21" s="9">
        <f t="shared" ref="B21:Z21" si="3">AVERAGE(B6:B19)</f>
        <v>0</v>
      </c>
      <c r="C21" s="9">
        <f t="shared" si="3"/>
        <v>0</v>
      </c>
      <c r="D21" s="9">
        <f t="shared" si="3"/>
        <v>0</v>
      </c>
      <c r="E21" s="9">
        <f t="shared" si="3"/>
        <v>0</v>
      </c>
      <c r="F21" s="9">
        <f t="shared" si="3"/>
        <v>0</v>
      </c>
      <c r="G21" s="9">
        <f t="shared" si="3"/>
        <v>0</v>
      </c>
      <c r="H21" s="9">
        <f t="shared" si="3"/>
        <v>5.4545454545454541</v>
      </c>
      <c r="I21" s="9">
        <f t="shared" si="3"/>
        <v>38.090909090909093</v>
      </c>
      <c r="J21" s="9">
        <f t="shared" si="3"/>
        <v>61.090909090909093</v>
      </c>
      <c r="K21" s="9">
        <f t="shared" si="3"/>
        <v>74.181818181818187</v>
      </c>
      <c r="L21" s="9">
        <f t="shared" si="3"/>
        <v>64.727272727272734</v>
      </c>
      <c r="M21" s="9">
        <f t="shared" si="3"/>
        <v>47.2</v>
      </c>
      <c r="N21" s="9">
        <f t="shared" si="3"/>
        <v>35.9</v>
      </c>
      <c r="O21" s="9">
        <f t="shared" si="3"/>
        <v>17.100000000000001</v>
      </c>
      <c r="P21" s="9">
        <f t="shared" si="3"/>
        <v>10.4</v>
      </c>
      <c r="Q21" s="9">
        <f t="shared" si="3"/>
        <v>5.9</v>
      </c>
      <c r="R21" s="9">
        <f t="shared" si="3"/>
        <v>5.1111111111111107</v>
      </c>
      <c r="S21" s="9">
        <f t="shared" si="3"/>
        <v>3.3333333333333335</v>
      </c>
      <c r="T21" s="9">
        <f t="shared" si="3"/>
        <v>3.6666666666666665</v>
      </c>
      <c r="U21" s="9">
        <f t="shared" si="3"/>
        <v>3.4444444444444446</v>
      </c>
      <c r="V21" s="9">
        <f t="shared" si="3"/>
        <v>3</v>
      </c>
      <c r="W21" s="9">
        <f t="shared" si="3"/>
        <v>5.75</v>
      </c>
      <c r="X21" s="9">
        <f t="shared" si="3"/>
        <v>7.25</v>
      </c>
      <c r="Y21" s="9">
        <f t="shared" si="3"/>
        <v>6.125</v>
      </c>
      <c r="Z21" s="9">
        <f t="shared" si="3"/>
        <v>5.625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x14ac:dyDescent="0.2">
      <c r="A22" s="14" t="s">
        <v>2</v>
      </c>
      <c r="B22" s="6">
        <f t="shared" ref="B22:Z22" si="4">STDEV(B6:B19)</f>
        <v>0</v>
      </c>
      <c r="C22" s="6">
        <f t="shared" si="4"/>
        <v>0</v>
      </c>
      <c r="D22" s="6">
        <f t="shared" si="4"/>
        <v>0</v>
      </c>
      <c r="E22" s="6">
        <f t="shared" si="4"/>
        <v>0</v>
      </c>
      <c r="F22" s="6">
        <f t="shared" si="4"/>
        <v>0</v>
      </c>
      <c r="G22" s="6">
        <f t="shared" si="4"/>
        <v>0</v>
      </c>
      <c r="H22" s="6">
        <f t="shared" si="4"/>
        <v>9.8220531088325558</v>
      </c>
      <c r="I22" s="6">
        <f t="shared" si="4"/>
        <v>26.356989757764619</v>
      </c>
      <c r="J22" s="6">
        <f t="shared" si="4"/>
        <v>30.991787768551024</v>
      </c>
      <c r="K22" s="6">
        <f t="shared" si="4"/>
        <v>43.342399983891482</v>
      </c>
      <c r="L22" s="6">
        <f t="shared" si="4"/>
        <v>43.465137545142795</v>
      </c>
      <c r="M22" s="6">
        <f t="shared" si="4"/>
        <v>42.273711295161519</v>
      </c>
      <c r="N22" s="6">
        <f t="shared" si="4"/>
        <v>50.538104436157873</v>
      </c>
      <c r="O22" s="6">
        <f t="shared" si="4"/>
        <v>20.151922985164468</v>
      </c>
      <c r="P22" s="6">
        <f t="shared" si="4"/>
        <v>17.9641618538442</v>
      </c>
      <c r="Q22" s="6">
        <f t="shared" si="4"/>
        <v>6.0083275543199202</v>
      </c>
      <c r="R22" s="6">
        <f t="shared" si="4"/>
        <v>4.4001262608146954</v>
      </c>
      <c r="S22" s="6">
        <f t="shared" si="4"/>
        <v>1.3228756555322954</v>
      </c>
      <c r="T22" s="6">
        <f t="shared" si="4"/>
        <v>1.6583123951776999</v>
      </c>
      <c r="U22" s="6">
        <f t="shared" si="4"/>
        <v>1.5898986690282431</v>
      </c>
      <c r="V22" s="6">
        <f t="shared" si="4"/>
        <v>1.7320508075688772</v>
      </c>
      <c r="W22" s="6">
        <f t="shared" si="4"/>
        <v>7.5166481891864541</v>
      </c>
      <c r="X22" s="6">
        <f t="shared" si="4"/>
        <v>10.124228365658293</v>
      </c>
      <c r="Y22" s="6">
        <f t="shared" si="4"/>
        <v>7.8637958845767173</v>
      </c>
      <c r="Z22" s="6">
        <f t="shared" si="4"/>
        <v>7.0698050084244084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x14ac:dyDescent="0.2">
      <c r="A23" s="14" t="s">
        <v>3</v>
      </c>
      <c r="B23" s="6">
        <f t="shared" ref="B23:Z23" si="5">B22/SQRT(B20)</f>
        <v>0</v>
      </c>
      <c r="C23" s="6">
        <f t="shared" si="5"/>
        <v>0</v>
      </c>
      <c r="D23" s="6">
        <f t="shared" si="5"/>
        <v>0</v>
      </c>
      <c r="E23" s="6">
        <f t="shared" si="5"/>
        <v>0</v>
      </c>
      <c r="F23" s="6">
        <f t="shared" si="5"/>
        <v>0</v>
      </c>
      <c r="G23" s="6">
        <f t="shared" si="5"/>
        <v>0</v>
      </c>
      <c r="H23" s="6">
        <f t="shared" si="5"/>
        <v>2.9614604393583073</v>
      </c>
      <c r="I23" s="6">
        <f t="shared" si="5"/>
        <v>7.9469314208859547</v>
      </c>
      <c r="J23" s="6">
        <f t="shared" si="5"/>
        <v>9.3443756009645078</v>
      </c>
      <c r="K23" s="6">
        <f t="shared" si="5"/>
        <v>13.068225296370361</v>
      </c>
      <c r="L23" s="6">
        <f t="shared" si="5"/>
        <v>13.105232063493441</v>
      </c>
      <c r="M23" s="6">
        <f t="shared" si="5"/>
        <v>13.368121284109694</v>
      </c>
      <c r="N23" s="6">
        <f t="shared" si="5"/>
        <v>15.98155186457185</v>
      </c>
      <c r="O23" s="6">
        <f t="shared" si="5"/>
        <v>6.3725975865419269</v>
      </c>
      <c r="P23" s="6">
        <f t="shared" si="5"/>
        <v>5.6807667714060486</v>
      </c>
      <c r="Q23" s="6">
        <f t="shared" si="5"/>
        <v>1.8999999999999997</v>
      </c>
      <c r="R23" s="6">
        <f t="shared" si="5"/>
        <v>1.4667087536048984</v>
      </c>
      <c r="S23" s="6">
        <f t="shared" si="5"/>
        <v>0.44095855184409843</v>
      </c>
      <c r="T23" s="6">
        <f t="shared" si="5"/>
        <v>0.5527707983925666</v>
      </c>
      <c r="U23" s="6">
        <f t="shared" si="5"/>
        <v>0.52996622300941432</v>
      </c>
      <c r="V23" s="6">
        <f t="shared" si="5"/>
        <v>0.65465367070797709</v>
      </c>
      <c r="W23" s="6">
        <f t="shared" si="5"/>
        <v>2.6575364531836621</v>
      </c>
      <c r="X23" s="6">
        <f t="shared" si="5"/>
        <v>3.5794552658190879</v>
      </c>
      <c r="Y23" s="6">
        <f t="shared" si="5"/>
        <v>2.7802716979255306</v>
      </c>
      <c r="Z23" s="6">
        <f t="shared" si="5"/>
        <v>2.4995535315617579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7" spans="1:48" x14ac:dyDescent="0.2">
      <c r="A27" s="10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12" t="s">
        <v>6</v>
      </c>
      <c r="M27" s="26"/>
      <c r="N27" s="26"/>
      <c r="O27" s="26"/>
      <c r="P27" s="26"/>
      <c r="Q27" s="26"/>
      <c r="R27" s="26"/>
      <c r="S27" s="26"/>
      <c r="T27" s="26"/>
      <c r="U27" s="26"/>
      <c r="X27" s="26"/>
      <c r="Y27" s="26"/>
      <c r="Z27" s="26"/>
      <c r="AA27" s="26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48" s="8" customFormat="1" x14ac:dyDescent="0.2">
      <c r="A28" s="11" t="s">
        <v>4</v>
      </c>
      <c r="B28" s="1">
        <v>1</v>
      </c>
      <c r="C28" s="1">
        <f t="shared" ref="C28:Z28" si="6">B28+1</f>
        <v>2</v>
      </c>
      <c r="D28" s="1">
        <f t="shared" si="6"/>
        <v>3</v>
      </c>
      <c r="E28" s="1">
        <f t="shared" si="6"/>
        <v>4</v>
      </c>
      <c r="F28" s="1">
        <f t="shared" si="6"/>
        <v>5</v>
      </c>
      <c r="G28" s="1">
        <f t="shared" si="6"/>
        <v>6</v>
      </c>
      <c r="H28" s="1">
        <f t="shared" si="6"/>
        <v>7</v>
      </c>
      <c r="I28" s="1">
        <f t="shared" si="6"/>
        <v>8</v>
      </c>
      <c r="J28" s="1">
        <f t="shared" si="6"/>
        <v>9</v>
      </c>
      <c r="K28" s="1">
        <f t="shared" si="6"/>
        <v>10</v>
      </c>
      <c r="L28" s="1">
        <f t="shared" si="6"/>
        <v>11</v>
      </c>
      <c r="M28" s="1">
        <f t="shared" si="6"/>
        <v>12</v>
      </c>
      <c r="N28" s="1">
        <f t="shared" si="6"/>
        <v>13</v>
      </c>
      <c r="O28" s="1">
        <f t="shared" si="6"/>
        <v>14</v>
      </c>
      <c r="P28" s="1">
        <f t="shared" si="6"/>
        <v>15</v>
      </c>
      <c r="Q28" s="1">
        <f t="shared" si="6"/>
        <v>16</v>
      </c>
      <c r="R28" s="1">
        <f t="shared" si="6"/>
        <v>17</v>
      </c>
      <c r="S28" s="1">
        <f t="shared" si="6"/>
        <v>18</v>
      </c>
      <c r="T28" s="1">
        <f t="shared" si="6"/>
        <v>19</v>
      </c>
      <c r="U28" s="1">
        <f t="shared" si="6"/>
        <v>20</v>
      </c>
      <c r="V28" s="1">
        <f t="shared" si="6"/>
        <v>21</v>
      </c>
      <c r="W28" s="1">
        <f t="shared" si="6"/>
        <v>22</v>
      </c>
      <c r="X28" s="1">
        <f t="shared" si="6"/>
        <v>23</v>
      </c>
      <c r="Y28" s="1">
        <f t="shared" si="6"/>
        <v>24</v>
      </c>
      <c r="Z28" s="1">
        <f t="shared" si="6"/>
        <v>25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8" x14ac:dyDescent="0.2">
      <c r="A29" s="12" t="s">
        <v>9</v>
      </c>
      <c r="B29" s="2">
        <v>-60</v>
      </c>
      <c r="C29" s="2">
        <f t="shared" ref="C29:Z29" si="7">B29+10</f>
        <v>-50</v>
      </c>
      <c r="D29" s="2">
        <f t="shared" si="7"/>
        <v>-40</v>
      </c>
      <c r="E29" s="2">
        <f t="shared" si="7"/>
        <v>-30</v>
      </c>
      <c r="F29" s="2">
        <f t="shared" si="7"/>
        <v>-20</v>
      </c>
      <c r="G29" s="2">
        <f t="shared" si="7"/>
        <v>-10</v>
      </c>
      <c r="H29" s="2">
        <f t="shared" si="7"/>
        <v>0</v>
      </c>
      <c r="I29" s="2">
        <f t="shared" si="7"/>
        <v>10</v>
      </c>
      <c r="J29" s="2">
        <f t="shared" si="7"/>
        <v>20</v>
      </c>
      <c r="K29" s="2">
        <f t="shared" si="7"/>
        <v>30</v>
      </c>
      <c r="L29" s="2">
        <f t="shared" si="7"/>
        <v>40</v>
      </c>
      <c r="M29" s="2">
        <f t="shared" si="7"/>
        <v>50</v>
      </c>
      <c r="N29" s="2">
        <f t="shared" si="7"/>
        <v>60</v>
      </c>
      <c r="O29" s="2">
        <f t="shared" si="7"/>
        <v>70</v>
      </c>
      <c r="P29" s="2">
        <f t="shared" si="7"/>
        <v>80</v>
      </c>
      <c r="Q29" s="2">
        <f t="shared" si="7"/>
        <v>90</v>
      </c>
      <c r="R29" s="2">
        <f t="shared" si="7"/>
        <v>100</v>
      </c>
      <c r="S29" s="2">
        <f t="shared" si="7"/>
        <v>110</v>
      </c>
      <c r="T29" s="2">
        <f t="shared" si="7"/>
        <v>120</v>
      </c>
      <c r="U29" s="2">
        <f t="shared" si="7"/>
        <v>130</v>
      </c>
      <c r="V29" s="2">
        <f t="shared" si="7"/>
        <v>140</v>
      </c>
      <c r="W29" s="2">
        <f t="shared" si="7"/>
        <v>150</v>
      </c>
      <c r="X29" s="2">
        <f t="shared" si="7"/>
        <v>160</v>
      </c>
      <c r="Y29" s="2">
        <f t="shared" si="7"/>
        <v>170</v>
      </c>
      <c r="Z29" s="2">
        <f t="shared" si="7"/>
        <v>180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ht="15" x14ac:dyDescent="0.2">
      <c r="A30" s="7">
        <v>162030062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3</v>
      </c>
      <c r="K30" s="1">
        <v>3</v>
      </c>
      <c r="L30" s="1">
        <v>5</v>
      </c>
      <c r="M30" s="1">
        <v>3</v>
      </c>
      <c r="N30" s="1">
        <v>4</v>
      </c>
      <c r="O30" s="1">
        <v>3</v>
      </c>
      <c r="P30" s="1">
        <v>2</v>
      </c>
      <c r="Q30" s="1">
        <v>2</v>
      </c>
      <c r="R30" s="1">
        <v>2</v>
      </c>
      <c r="S30" s="1">
        <v>2</v>
      </c>
      <c r="T30" s="1">
        <v>2</v>
      </c>
      <c r="U30" s="1">
        <v>1</v>
      </c>
      <c r="V30" s="1">
        <v>1</v>
      </c>
      <c r="W30" s="1">
        <v>2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" x14ac:dyDescent="0.2">
      <c r="A31" s="7">
        <v>163190019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1</v>
      </c>
      <c r="I31" s="1">
        <v>3</v>
      </c>
      <c r="J31" s="1">
        <v>2</v>
      </c>
      <c r="K31" s="1">
        <v>1</v>
      </c>
      <c r="L31" s="1">
        <v>1</v>
      </c>
      <c r="M31" s="1">
        <v>2</v>
      </c>
      <c r="N31" s="1">
        <v>2</v>
      </c>
      <c r="O31" s="1">
        <v>2</v>
      </c>
      <c r="P31" s="1">
        <v>1</v>
      </c>
      <c r="Q31" s="1">
        <v>2</v>
      </c>
      <c r="R31" s="1">
        <v>1</v>
      </c>
      <c r="S31" s="1">
        <v>2</v>
      </c>
      <c r="T31" s="1">
        <v>2</v>
      </c>
      <c r="U31" s="1">
        <v>2</v>
      </c>
      <c r="V31" s="1">
        <v>2</v>
      </c>
      <c r="W31" s="1">
        <v>2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" x14ac:dyDescent="0.2">
      <c r="A32" s="7">
        <v>171190019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</v>
      </c>
      <c r="J32" s="1">
        <v>1</v>
      </c>
      <c r="K32" s="1">
        <v>2</v>
      </c>
      <c r="L32" s="1">
        <v>2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1</v>
      </c>
      <c r="S32" s="1">
        <v>1</v>
      </c>
      <c r="T32" s="1">
        <v>1</v>
      </c>
      <c r="U32" s="1">
        <v>1</v>
      </c>
      <c r="V32" s="1">
        <v>1</v>
      </c>
      <c r="W32" s="1">
        <v>0</v>
      </c>
      <c r="X32" s="1">
        <v>0</v>
      </c>
      <c r="Y32" s="1">
        <v>0</v>
      </c>
      <c r="Z32" s="1">
        <v>0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" x14ac:dyDescent="0.2">
      <c r="A33" s="7">
        <v>171200002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6</v>
      </c>
      <c r="I33" s="1">
        <v>14</v>
      </c>
      <c r="J33" s="1">
        <v>15</v>
      </c>
      <c r="K33" s="1">
        <v>3</v>
      </c>
      <c r="L33" s="1">
        <v>3</v>
      </c>
      <c r="M33" s="1">
        <v>1</v>
      </c>
      <c r="N33" s="1">
        <v>2</v>
      </c>
      <c r="O33" s="1">
        <v>2</v>
      </c>
      <c r="P33" s="1">
        <v>2</v>
      </c>
      <c r="Q33" s="1">
        <v>2</v>
      </c>
      <c r="R33" s="1">
        <v>2</v>
      </c>
      <c r="S33" s="1">
        <v>2</v>
      </c>
      <c r="T33" s="1">
        <v>2</v>
      </c>
      <c r="U33" s="1">
        <v>2</v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s="4" customFormat="1" ht="15" x14ac:dyDescent="0.2">
      <c r="A34" s="5">
        <v>171230033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9</v>
      </c>
      <c r="I34" s="2">
        <v>33</v>
      </c>
      <c r="J34" s="2">
        <v>2</v>
      </c>
      <c r="K34" s="2">
        <v>4</v>
      </c>
      <c r="L34" s="2">
        <v>3</v>
      </c>
      <c r="M34" s="2">
        <v>4</v>
      </c>
      <c r="N34" s="2">
        <v>3</v>
      </c>
      <c r="O34" s="2">
        <v>4</v>
      </c>
      <c r="P34" s="2">
        <v>4</v>
      </c>
      <c r="Q34" s="2">
        <v>3</v>
      </c>
      <c r="R34" s="2">
        <v>5</v>
      </c>
      <c r="S34" s="2">
        <v>7</v>
      </c>
      <c r="T34" s="2">
        <v>3</v>
      </c>
      <c r="U34" s="2">
        <v>4</v>
      </c>
      <c r="V34" s="2">
        <v>3</v>
      </c>
      <c r="W34" s="2">
        <v>6</v>
      </c>
      <c r="X34" s="2">
        <v>2</v>
      </c>
      <c r="Y34" s="2">
        <v>3</v>
      </c>
      <c r="Z34" s="2">
        <v>2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t="15" x14ac:dyDescent="0.2">
      <c r="A35" s="7">
        <v>172020015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2</v>
      </c>
      <c r="K35" s="1">
        <v>17</v>
      </c>
      <c r="L35" s="1">
        <v>32</v>
      </c>
      <c r="M35" s="1">
        <v>26</v>
      </c>
      <c r="N35" s="1">
        <v>12</v>
      </c>
      <c r="O35" s="1">
        <v>8</v>
      </c>
      <c r="P35" s="1">
        <v>17</v>
      </c>
      <c r="Q35" s="1">
        <v>20</v>
      </c>
      <c r="R35" s="1">
        <v>4</v>
      </c>
      <c r="S35" s="1">
        <v>10</v>
      </c>
      <c r="T35" s="1">
        <v>40</v>
      </c>
      <c r="U35" s="1">
        <v>5</v>
      </c>
      <c r="V35" s="1">
        <v>2</v>
      </c>
      <c r="W35" s="1">
        <v>4</v>
      </c>
      <c r="X35" s="1">
        <v>5</v>
      </c>
      <c r="Y35" s="1">
        <v>6</v>
      </c>
      <c r="Z35" s="1">
        <v>5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" x14ac:dyDescent="0.2">
      <c r="A36" s="7">
        <v>192160036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2</v>
      </c>
      <c r="I36" s="1">
        <v>6</v>
      </c>
      <c r="J36" s="1">
        <v>6</v>
      </c>
      <c r="K36" s="1">
        <v>5</v>
      </c>
      <c r="L36" s="1">
        <v>3</v>
      </c>
      <c r="M36" s="1">
        <v>2</v>
      </c>
      <c r="N36" s="1">
        <v>2</v>
      </c>
      <c r="O36" s="1">
        <v>2</v>
      </c>
      <c r="P36" s="1">
        <v>2</v>
      </c>
      <c r="Q36" s="1">
        <v>2</v>
      </c>
      <c r="R36" s="1">
        <v>3</v>
      </c>
      <c r="S36" s="1">
        <v>1</v>
      </c>
      <c r="T36" s="1">
        <v>2</v>
      </c>
      <c r="U36" s="1">
        <v>2</v>
      </c>
      <c r="V36" s="1">
        <v>1</v>
      </c>
      <c r="W36" s="1">
        <v>1</v>
      </c>
      <c r="X36" s="1">
        <v>1</v>
      </c>
      <c r="Y36" s="1">
        <v>1</v>
      </c>
      <c r="Z36" s="1">
        <v>1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" x14ac:dyDescent="0.2">
      <c r="A37" s="7">
        <v>217130014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27</v>
      </c>
      <c r="J37" s="1">
        <v>46</v>
      </c>
      <c r="K37" s="1">
        <v>61</v>
      </c>
      <c r="L37" s="1">
        <v>15</v>
      </c>
      <c r="M37" s="1">
        <v>6</v>
      </c>
      <c r="N37" s="1">
        <v>4</v>
      </c>
      <c r="O37" s="1">
        <v>4</v>
      </c>
      <c r="P37" s="1">
        <v>3</v>
      </c>
      <c r="Q37" s="1">
        <v>2</v>
      </c>
      <c r="R37" s="1">
        <v>2</v>
      </c>
      <c r="S37" s="1">
        <v>2</v>
      </c>
      <c r="T37" s="1">
        <v>2</v>
      </c>
      <c r="U37" s="1">
        <v>3</v>
      </c>
      <c r="V37" s="1">
        <v>2</v>
      </c>
      <c r="W37" s="1">
        <v>2</v>
      </c>
      <c r="X37" s="1">
        <v>2</v>
      </c>
      <c r="Y37" s="1">
        <v>2</v>
      </c>
      <c r="Z37" s="1">
        <v>2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s="4" customFormat="1" ht="15" x14ac:dyDescent="0.2">
      <c r="A38" s="7" t="s">
        <v>39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17</v>
      </c>
      <c r="J38" s="1">
        <v>37</v>
      </c>
      <c r="K38" s="1">
        <v>48</v>
      </c>
      <c r="L38" s="1">
        <v>55</v>
      </c>
      <c r="M38" s="1">
        <v>64</v>
      </c>
      <c r="N38" s="1">
        <v>70</v>
      </c>
      <c r="O38" s="1">
        <v>37</v>
      </c>
      <c r="P38" s="1">
        <v>3</v>
      </c>
      <c r="Q38" s="1">
        <v>2</v>
      </c>
      <c r="R38" s="1">
        <v>2</v>
      </c>
      <c r="S38" s="1">
        <v>1</v>
      </c>
      <c r="T38" s="1">
        <v>1</v>
      </c>
      <c r="U38" s="1">
        <v>1</v>
      </c>
      <c r="V38" s="1">
        <v>1</v>
      </c>
      <c r="W38" s="1">
        <v>1</v>
      </c>
      <c r="X38" s="1">
        <v>1</v>
      </c>
      <c r="Y38" s="1">
        <v>1</v>
      </c>
      <c r="Z38" s="1">
        <v>1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40" spans="1:48" x14ac:dyDescent="0.2">
      <c r="A40" s="1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2">
      <c r="A41" s="1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2">
      <c r="A42" s="14" t="s">
        <v>0</v>
      </c>
      <c r="B42" s="1">
        <f t="shared" ref="B42:Z42" si="8">COUNT(B30:B41)</f>
        <v>9</v>
      </c>
      <c r="C42" s="1">
        <f t="shared" si="8"/>
        <v>9</v>
      </c>
      <c r="D42" s="1">
        <f t="shared" si="8"/>
        <v>9</v>
      </c>
      <c r="E42" s="1">
        <f t="shared" si="8"/>
        <v>9</v>
      </c>
      <c r="F42" s="1">
        <f t="shared" si="8"/>
        <v>9</v>
      </c>
      <c r="G42" s="1">
        <f t="shared" si="8"/>
        <v>9</v>
      </c>
      <c r="H42" s="1">
        <f t="shared" si="8"/>
        <v>9</v>
      </c>
      <c r="I42" s="1">
        <f t="shared" si="8"/>
        <v>9</v>
      </c>
      <c r="J42" s="1">
        <f t="shared" si="8"/>
        <v>9</v>
      </c>
      <c r="K42" s="1">
        <f t="shared" si="8"/>
        <v>9</v>
      </c>
      <c r="L42" s="1">
        <f t="shared" si="8"/>
        <v>9</v>
      </c>
      <c r="M42" s="1">
        <f t="shared" si="8"/>
        <v>9</v>
      </c>
      <c r="N42" s="1">
        <f t="shared" si="8"/>
        <v>9</v>
      </c>
      <c r="O42" s="1">
        <f t="shared" si="8"/>
        <v>9</v>
      </c>
      <c r="P42" s="1">
        <f t="shared" si="8"/>
        <v>9</v>
      </c>
      <c r="Q42" s="1">
        <f t="shared" si="8"/>
        <v>9</v>
      </c>
      <c r="R42" s="1">
        <f t="shared" si="8"/>
        <v>9</v>
      </c>
      <c r="S42" s="1">
        <f t="shared" si="8"/>
        <v>9</v>
      </c>
      <c r="T42" s="1">
        <f t="shared" si="8"/>
        <v>9</v>
      </c>
      <c r="U42" s="1">
        <f t="shared" si="8"/>
        <v>9</v>
      </c>
      <c r="V42" s="1">
        <f t="shared" si="8"/>
        <v>8</v>
      </c>
      <c r="W42" s="1">
        <f t="shared" si="8"/>
        <v>8</v>
      </c>
      <c r="X42" s="1">
        <f t="shared" si="8"/>
        <v>6</v>
      </c>
      <c r="Y42" s="1">
        <f t="shared" si="8"/>
        <v>6</v>
      </c>
      <c r="Z42" s="1">
        <f t="shared" si="8"/>
        <v>6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x14ac:dyDescent="0.2">
      <c r="A43" s="14" t="s">
        <v>1</v>
      </c>
      <c r="B43" s="9">
        <f t="shared" ref="B43:Z43" si="9">AVERAGE(B30:B41)</f>
        <v>0</v>
      </c>
      <c r="C43" s="9">
        <f t="shared" si="9"/>
        <v>0</v>
      </c>
      <c r="D43" s="9">
        <f t="shared" si="9"/>
        <v>0</v>
      </c>
      <c r="E43" s="9">
        <f t="shared" si="9"/>
        <v>0</v>
      </c>
      <c r="F43" s="9">
        <f t="shared" si="9"/>
        <v>0</v>
      </c>
      <c r="G43" s="9">
        <f t="shared" si="9"/>
        <v>0</v>
      </c>
      <c r="H43" s="9">
        <f t="shared" si="9"/>
        <v>2</v>
      </c>
      <c r="I43" s="9">
        <f t="shared" si="9"/>
        <v>11.333333333333334</v>
      </c>
      <c r="J43" s="9">
        <f t="shared" si="9"/>
        <v>12.666666666666666</v>
      </c>
      <c r="K43" s="9">
        <f t="shared" si="9"/>
        <v>16</v>
      </c>
      <c r="L43" s="9">
        <f t="shared" si="9"/>
        <v>13.222222222222221</v>
      </c>
      <c r="M43" s="9">
        <f t="shared" si="9"/>
        <v>12.111111111111111</v>
      </c>
      <c r="N43" s="9">
        <f t="shared" si="9"/>
        <v>11.111111111111111</v>
      </c>
      <c r="O43" s="9">
        <f t="shared" si="9"/>
        <v>7</v>
      </c>
      <c r="P43" s="9">
        <f t="shared" si="9"/>
        <v>3.8888888888888888</v>
      </c>
      <c r="Q43" s="9">
        <f t="shared" si="9"/>
        <v>4</v>
      </c>
      <c r="R43" s="9">
        <f t="shared" si="9"/>
        <v>2.4444444444444446</v>
      </c>
      <c r="S43" s="9">
        <f t="shared" si="9"/>
        <v>3.1111111111111112</v>
      </c>
      <c r="T43" s="9">
        <f t="shared" si="9"/>
        <v>6.1111111111111107</v>
      </c>
      <c r="U43" s="9">
        <f t="shared" si="9"/>
        <v>2.3333333333333335</v>
      </c>
      <c r="V43" s="9">
        <f t="shared" si="9"/>
        <v>1.625</v>
      </c>
      <c r="W43" s="9">
        <f t="shared" si="9"/>
        <v>2.25</v>
      </c>
      <c r="X43" s="9">
        <f t="shared" si="9"/>
        <v>1.8333333333333333</v>
      </c>
      <c r="Y43" s="9">
        <f t="shared" si="9"/>
        <v>2.1666666666666665</v>
      </c>
      <c r="Z43" s="9">
        <f t="shared" si="9"/>
        <v>1.8333333333333333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x14ac:dyDescent="0.2">
      <c r="A44" s="14" t="s">
        <v>2</v>
      </c>
      <c r="B44" s="6">
        <f t="shared" ref="B44:Z44" si="10">STDEV(B30:B41)</f>
        <v>0</v>
      </c>
      <c r="C44" s="6">
        <f t="shared" si="10"/>
        <v>0</v>
      </c>
      <c r="D44" s="6">
        <f t="shared" si="10"/>
        <v>0</v>
      </c>
      <c r="E44" s="6">
        <f t="shared" si="10"/>
        <v>0</v>
      </c>
      <c r="F44" s="6">
        <f t="shared" si="10"/>
        <v>0</v>
      </c>
      <c r="G44" s="6">
        <f t="shared" si="10"/>
        <v>0</v>
      </c>
      <c r="H44" s="6">
        <f t="shared" si="10"/>
        <v>3.2787192621510002</v>
      </c>
      <c r="I44" s="6">
        <f t="shared" si="10"/>
        <v>12.227019260637483</v>
      </c>
      <c r="J44" s="6">
        <f t="shared" si="10"/>
        <v>17.04406054905931</v>
      </c>
      <c r="K44" s="6">
        <f t="shared" si="10"/>
        <v>22.566568192793515</v>
      </c>
      <c r="L44" s="6">
        <f t="shared" si="10"/>
        <v>18.56594851992336</v>
      </c>
      <c r="M44" s="6">
        <f t="shared" si="10"/>
        <v>20.984782846413044</v>
      </c>
      <c r="N44" s="6">
        <f t="shared" si="10"/>
        <v>22.324003026140073</v>
      </c>
      <c r="O44" s="6">
        <f t="shared" si="10"/>
        <v>11.434596626029272</v>
      </c>
      <c r="P44" s="6">
        <f t="shared" si="10"/>
        <v>5.0110987927909694</v>
      </c>
      <c r="Q44" s="6">
        <f t="shared" si="10"/>
        <v>6.0207972893961479</v>
      </c>
      <c r="R44" s="6">
        <f t="shared" si="10"/>
        <v>1.3333333333333333</v>
      </c>
      <c r="S44" s="6">
        <f t="shared" si="10"/>
        <v>3.1797973380564852</v>
      </c>
      <c r="T44" s="6">
        <f t="shared" si="10"/>
        <v>12.722464820588467</v>
      </c>
      <c r="U44" s="6">
        <f t="shared" si="10"/>
        <v>1.4142135623730951</v>
      </c>
      <c r="V44" s="6">
        <f t="shared" si="10"/>
        <v>0.74402380914284494</v>
      </c>
      <c r="W44" s="6">
        <f t="shared" si="10"/>
        <v>1.9086270308410553</v>
      </c>
      <c r="X44" s="6">
        <f t="shared" si="10"/>
        <v>1.7224014243685084</v>
      </c>
      <c r="Y44" s="6">
        <f t="shared" si="10"/>
        <v>2.1369760566432809</v>
      </c>
      <c r="Z44" s="6">
        <f t="shared" si="10"/>
        <v>1.7224014243685084</v>
      </c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</row>
    <row r="45" spans="1:48" x14ac:dyDescent="0.2">
      <c r="A45" s="14" t="s">
        <v>3</v>
      </c>
      <c r="B45" s="6">
        <f t="shared" ref="B45:Z45" si="11">B44/SQRT(B42)</f>
        <v>0</v>
      </c>
      <c r="C45" s="6">
        <f t="shared" si="11"/>
        <v>0</v>
      </c>
      <c r="D45" s="6">
        <f t="shared" si="11"/>
        <v>0</v>
      </c>
      <c r="E45" s="6">
        <f t="shared" si="11"/>
        <v>0</v>
      </c>
      <c r="F45" s="6">
        <f t="shared" si="11"/>
        <v>0</v>
      </c>
      <c r="G45" s="6">
        <f t="shared" si="11"/>
        <v>0</v>
      </c>
      <c r="H45" s="6">
        <f t="shared" si="11"/>
        <v>1.0929064207170001</v>
      </c>
      <c r="I45" s="6">
        <f t="shared" si="11"/>
        <v>4.0756730868791609</v>
      </c>
      <c r="J45" s="6">
        <f t="shared" si="11"/>
        <v>5.681353516353103</v>
      </c>
      <c r="K45" s="6">
        <f t="shared" si="11"/>
        <v>7.5221893975978382</v>
      </c>
      <c r="L45" s="6">
        <f t="shared" si="11"/>
        <v>6.18864950664112</v>
      </c>
      <c r="M45" s="6">
        <f t="shared" si="11"/>
        <v>6.9949276154710143</v>
      </c>
      <c r="N45" s="6">
        <f t="shared" si="11"/>
        <v>7.4413343420466909</v>
      </c>
      <c r="O45" s="6">
        <f t="shared" si="11"/>
        <v>3.8115322086764238</v>
      </c>
      <c r="P45" s="6">
        <f t="shared" si="11"/>
        <v>1.6703662642636565</v>
      </c>
      <c r="Q45" s="6">
        <f t="shared" si="11"/>
        <v>2.0069324297987161</v>
      </c>
      <c r="R45" s="6">
        <f t="shared" si="11"/>
        <v>0.44444444444444442</v>
      </c>
      <c r="S45" s="6">
        <f t="shared" si="11"/>
        <v>1.0599324460188284</v>
      </c>
      <c r="T45" s="6">
        <f t="shared" si="11"/>
        <v>4.2408216068628226</v>
      </c>
      <c r="U45" s="6">
        <f t="shared" si="11"/>
        <v>0.47140452079103173</v>
      </c>
      <c r="V45" s="6">
        <f t="shared" si="11"/>
        <v>0.26305214040457559</v>
      </c>
      <c r="W45" s="6">
        <f t="shared" si="11"/>
        <v>0.67480155813182796</v>
      </c>
      <c r="X45" s="6">
        <f t="shared" si="11"/>
        <v>0.70316743699096629</v>
      </c>
      <c r="Y45" s="6">
        <f t="shared" si="11"/>
        <v>0.87241682188682679</v>
      </c>
      <c r="Z45" s="6">
        <f t="shared" si="11"/>
        <v>0.70316743699096629</v>
      </c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1127-1F9F-4981-886C-1922145D4CF7}">
  <dimension ref="A1:N25"/>
  <sheetViews>
    <sheetView workbookViewId="0">
      <selection activeCell="M33" sqref="M33"/>
    </sheetView>
  </sheetViews>
  <sheetFormatPr baseColWidth="10" defaultColWidth="8.83203125" defaultRowHeight="16" x14ac:dyDescent="0.2"/>
  <cols>
    <col min="1" max="1" width="12.5" style="8" customWidth="1"/>
    <col min="2" max="3" width="10.5" style="18" customWidth="1"/>
    <col min="4" max="4" width="12.5" style="18" customWidth="1"/>
    <col min="5" max="5" width="13" style="18" customWidth="1"/>
  </cols>
  <sheetData>
    <row r="1" spans="1:14" x14ac:dyDescent="0.2">
      <c r="A1" s="19" t="s">
        <v>41</v>
      </c>
      <c r="J1" s="18"/>
      <c r="K1" s="18"/>
      <c r="L1" s="18"/>
      <c r="M1" s="18"/>
      <c r="N1" s="18"/>
    </row>
    <row r="2" spans="1:14" x14ac:dyDescent="0.2">
      <c r="A2" s="18"/>
      <c r="J2" s="18"/>
      <c r="K2" s="18"/>
      <c r="L2" s="18"/>
      <c r="M2" s="18"/>
      <c r="N2" s="18"/>
    </row>
    <row r="3" spans="1:14" x14ac:dyDescent="0.2">
      <c r="A3" s="18"/>
      <c r="B3" s="18" t="s">
        <v>40</v>
      </c>
      <c r="J3" s="18"/>
      <c r="K3" s="18"/>
      <c r="L3" s="18"/>
      <c r="M3" s="18"/>
      <c r="N3" s="18"/>
    </row>
    <row r="4" spans="1:14" x14ac:dyDescent="0.2">
      <c r="A4" s="8" t="s">
        <v>12</v>
      </c>
      <c r="B4" s="28" t="s">
        <v>10</v>
      </c>
      <c r="D4" s="18" t="s">
        <v>12</v>
      </c>
      <c r="E4" s="18" t="s">
        <v>43</v>
      </c>
      <c r="J4" s="18"/>
      <c r="K4" s="17"/>
      <c r="L4" s="17"/>
      <c r="M4" s="18"/>
      <c r="N4" s="17"/>
    </row>
    <row r="5" spans="1:14" x14ac:dyDescent="0.2">
      <c r="A5" s="7" t="s">
        <v>36</v>
      </c>
      <c r="B5" s="35">
        <v>50.666666666666664</v>
      </c>
      <c r="D5" s="7">
        <v>162030062</v>
      </c>
      <c r="E5" s="29">
        <v>3.3333333333333335</v>
      </c>
      <c r="G5" s="1"/>
    </row>
    <row r="6" spans="1:14" x14ac:dyDescent="0.2">
      <c r="A6" s="7" t="s">
        <v>37</v>
      </c>
      <c r="B6" s="35">
        <v>59.333333333333336</v>
      </c>
      <c r="D6" s="7">
        <v>163190019</v>
      </c>
      <c r="E6" s="29">
        <v>2</v>
      </c>
      <c r="G6" s="1"/>
    </row>
    <row r="7" spans="1:14" x14ac:dyDescent="0.2">
      <c r="A7" s="7" t="s">
        <v>38</v>
      </c>
      <c r="B7" s="35">
        <v>104.66666666666667</v>
      </c>
      <c r="D7" s="7">
        <v>171190019</v>
      </c>
      <c r="E7" s="29">
        <v>1.3333333333333333</v>
      </c>
      <c r="G7" s="1"/>
    </row>
    <row r="8" spans="1:14" x14ac:dyDescent="0.2">
      <c r="A8" s="7">
        <v>162030075</v>
      </c>
      <c r="B8" s="35">
        <v>56</v>
      </c>
      <c r="D8" s="7">
        <v>171200002</v>
      </c>
      <c r="E8" s="29">
        <v>10</v>
      </c>
      <c r="G8" s="1"/>
    </row>
    <row r="9" spans="1:14" x14ac:dyDescent="0.2">
      <c r="A9" s="7">
        <v>172240007</v>
      </c>
      <c r="B9" s="35">
        <v>88.666666666666671</v>
      </c>
      <c r="D9" s="7">
        <v>172020015</v>
      </c>
      <c r="E9" s="29">
        <v>26.666666666666668</v>
      </c>
      <c r="G9" s="2"/>
    </row>
    <row r="10" spans="1:14" x14ac:dyDescent="0.2">
      <c r="A10" s="7">
        <v>172240021</v>
      </c>
      <c r="B10" s="35">
        <v>100</v>
      </c>
      <c r="D10" s="7">
        <v>192160036</v>
      </c>
      <c r="E10" s="29">
        <v>4</v>
      </c>
      <c r="G10" s="1"/>
    </row>
    <row r="11" spans="1:14" x14ac:dyDescent="0.2">
      <c r="A11" s="7">
        <v>191280045</v>
      </c>
      <c r="B11" s="35">
        <v>100</v>
      </c>
      <c r="D11" s="7">
        <v>217130014</v>
      </c>
      <c r="E11" s="29">
        <v>40.666666666666664</v>
      </c>
      <c r="G11" s="1"/>
    </row>
    <row r="12" spans="1:14" x14ac:dyDescent="0.2">
      <c r="A12" s="7">
        <v>191290043</v>
      </c>
      <c r="B12" s="35">
        <v>54</v>
      </c>
      <c r="D12" s="7" t="s">
        <v>39</v>
      </c>
      <c r="E12" s="35">
        <v>46.666666666666664</v>
      </c>
      <c r="G12" s="1"/>
    </row>
    <row r="13" spans="1:14" x14ac:dyDescent="0.2">
      <c r="A13" s="7">
        <v>191290052</v>
      </c>
      <c r="B13" s="35">
        <v>46.666666666666664</v>
      </c>
      <c r="D13" s="37"/>
      <c r="E13" s="29"/>
      <c r="G13" s="1"/>
    </row>
    <row r="14" spans="1:14" x14ac:dyDescent="0.2">
      <c r="A14" s="7">
        <v>198130062</v>
      </c>
      <c r="B14" s="35">
        <v>11.333333333333334</v>
      </c>
      <c r="D14" s="37"/>
      <c r="E14" s="29"/>
    </row>
    <row r="15" spans="1:14" x14ac:dyDescent="0.2">
      <c r="A15" s="7" t="s">
        <v>39</v>
      </c>
      <c r="B15" s="35">
        <v>46.666666666666664</v>
      </c>
      <c r="D15" s="37"/>
      <c r="E15" s="29"/>
    </row>
    <row r="16" spans="1:14" x14ac:dyDescent="0.2">
      <c r="A16" s="7"/>
    </row>
    <row r="19" spans="1:5" ht="15" x14ac:dyDescent="0.2">
      <c r="A19" s="7" t="s">
        <v>0</v>
      </c>
      <c r="B19" s="1">
        <f>COUNT(B5:B17)</f>
        <v>11</v>
      </c>
      <c r="C19" s="1"/>
      <c r="D19" s="7" t="s">
        <v>0</v>
      </c>
      <c r="E19" s="1">
        <f>COUNT(E5:E17)</f>
        <v>8</v>
      </c>
    </row>
    <row r="20" spans="1:5" ht="15" x14ac:dyDescent="0.2">
      <c r="A20" s="7" t="s">
        <v>1</v>
      </c>
      <c r="B20" s="9">
        <f>AVERAGE(B5:B17)</f>
        <v>65.272727272727266</v>
      </c>
      <c r="C20" s="9"/>
      <c r="D20" s="7" t="s">
        <v>1</v>
      </c>
      <c r="E20" s="9">
        <f>AVERAGE(E5:E17)</f>
        <v>16.833333333333332</v>
      </c>
    </row>
    <row r="21" spans="1:5" ht="15" x14ac:dyDescent="0.2">
      <c r="A21" s="7" t="s">
        <v>2</v>
      </c>
      <c r="B21" s="6">
        <f>STDEV(B5:B17)</f>
        <v>29.282462776594208</v>
      </c>
      <c r="C21" s="6"/>
      <c r="D21" s="7" t="s">
        <v>2</v>
      </c>
      <c r="E21" s="6">
        <f>STDEV(E5:E17)</f>
        <v>18.549804260294447</v>
      </c>
    </row>
    <row r="22" spans="1:5" ht="15" x14ac:dyDescent="0.2">
      <c r="A22" s="7" t="s">
        <v>3</v>
      </c>
      <c r="B22" s="6">
        <f t="shared" ref="B22:E22" si="0">B21/SQRT(B19)</f>
        <v>8.8289947243192337</v>
      </c>
      <c r="C22" s="6"/>
      <c r="D22" s="7" t="s">
        <v>3</v>
      </c>
      <c r="E22" s="6">
        <f t="shared" si="0"/>
        <v>6.5583461910686562</v>
      </c>
    </row>
    <row r="23" spans="1:5" x14ac:dyDescent="0.2">
      <c r="A23" s="8" t="s">
        <v>78</v>
      </c>
      <c r="B23" s="28">
        <v>8</v>
      </c>
      <c r="D23" s="14" t="s">
        <v>78</v>
      </c>
      <c r="E23" s="28">
        <v>7</v>
      </c>
    </row>
    <row r="25" spans="1:5" x14ac:dyDescent="0.2">
      <c r="D25" s="14" t="s">
        <v>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F4E6-EFA3-4EB1-8A1E-80D3A863BD23}">
  <dimension ref="A1:E32"/>
  <sheetViews>
    <sheetView workbookViewId="0">
      <selection activeCell="K32" sqref="K32"/>
    </sheetView>
  </sheetViews>
  <sheetFormatPr baseColWidth="10" defaultColWidth="8.83203125" defaultRowHeight="16" x14ac:dyDescent="0.2"/>
  <cols>
    <col min="1" max="1" width="24.33203125" style="18" customWidth="1"/>
    <col min="2" max="2" width="14.1640625" style="18" customWidth="1"/>
    <col min="3" max="3" width="13.83203125" style="18" customWidth="1"/>
    <col min="4" max="4" width="18.5" style="18" customWidth="1"/>
    <col min="5" max="5" width="8.83203125" style="18"/>
  </cols>
  <sheetData>
    <row r="1" spans="1:5" x14ac:dyDescent="0.2">
      <c r="A1" s="18" t="s">
        <v>35</v>
      </c>
      <c r="C1" s="10"/>
    </row>
    <row r="2" spans="1:5" x14ac:dyDescent="0.2">
      <c r="A2" s="18" t="s">
        <v>57</v>
      </c>
      <c r="C2" s="10"/>
    </row>
    <row r="3" spans="1:5" x14ac:dyDescent="0.2">
      <c r="B3" s="18" t="s">
        <v>74</v>
      </c>
      <c r="C3" s="10"/>
    </row>
    <row r="4" spans="1:5" x14ac:dyDescent="0.2">
      <c r="B4" s="10">
        <v>183080005</v>
      </c>
      <c r="C4" s="10" t="s">
        <v>59</v>
      </c>
    </row>
    <row r="5" spans="1:5" x14ac:dyDescent="0.2">
      <c r="A5" s="13" t="s">
        <v>58</v>
      </c>
      <c r="B5" s="17" t="s">
        <v>10</v>
      </c>
      <c r="C5" s="22" t="s">
        <v>56</v>
      </c>
      <c r="E5"/>
    </row>
    <row r="6" spans="1:5" x14ac:dyDescent="0.2">
      <c r="A6" s="1">
        <v>0</v>
      </c>
      <c r="B6" s="8">
        <v>0</v>
      </c>
      <c r="C6" s="8">
        <v>0</v>
      </c>
      <c r="E6"/>
    </row>
    <row r="7" spans="1:5" x14ac:dyDescent="0.2">
      <c r="A7" s="1">
        <v>100</v>
      </c>
      <c r="B7" s="8">
        <v>0.94111809999999996</v>
      </c>
      <c r="C7" s="8">
        <v>0.54419600000000001</v>
      </c>
      <c r="E7"/>
    </row>
    <row r="8" spans="1:5" x14ac:dyDescent="0.2">
      <c r="A8" s="1">
        <v>200</v>
      </c>
      <c r="B8" s="8">
        <v>0.9990076</v>
      </c>
      <c r="C8" s="8">
        <v>0.80511180000000004</v>
      </c>
      <c r="E8"/>
    </row>
    <row r="9" spans="1:5" x14ac:dyDescent="0.2">
      <c r="A9" s="1">
        <v>300</v>
      </c>
      <c r="B9" s="8">
        <v>1</v>
      </c>
      <c r="C9" s="8">
        <v>0.90947820000000001</v>
      </c>
      <c r="E9"/>
    </row>
    <row r="10" spans="1:5" x14ac:dyDescent="0.2">
      <c r="A10" s="1">
        <v>400</v>
      </c>
      <c r="B10" s="17"/>
      <c r="C10" s="8">
        <v>0.96166130000000005</v>
      </c>
      <c r="E10"/>
    </row>
    <row r="11" spans="1:5" x14ac:dyDescent="0.2">
      <c r="A11" s="1">
        <v>500</v>
      </c>
      <c r="B11" s="17"/>
      <c r="C11" s="8">
        <v>0.98828539999999998</v>
      </c>
      <c r="E11"/>
    </row>
    <row r="12" spans="1:5" x14ac:dyDescent="0.2">
      <c r="A12" s="1">
        <v>600</v>
      </c>
      <c r="B12" s="17"/>
      <c r="C12" s="8">
        <v>0.9968051</v>
      </c>
      <c r="E12"/>
    </row>
    <row r="13" spans="1:5" x14ac:dyDescent="0.2">
      <c r="A13" s="1">
        <v>700</v>
      </c>
      <c r="B13" s="17"/>
      <c r="C13" s="8">
        <v>0.99893500000000002</v>
      </c>
      <c r="E13"/>
    </row>
    <row r="14" spans="1:5" x14ac:dyDescent="0.2">
      <c r="A14" s="1">
        <v>800</v>
      </c>
      <c r="B14" s="17"/>
      <c r="C14" s="8">
        <v>0.99893500000000002</v>
      </c>
      <c r="E14"/>
    </row>
    <row r="15" spans="1:5" x14ac:dyDescent="0.2">
      <c r="A15" s="1">
        <v>900</v>
      </c>
      <c r="B15" s="17"/>
      <c r="C15" s="8">
        <v>0.99893500000000002</v>
      </c>
      <c r="E15"/>
    </row>
    <row r="16" spans="1:5" x14ac:dyDescent="0.2">
      <c r="A16" s="1">
        <v>1000</v>
      </c>
      <c r="B16" s="17"/>
      <c r="C16" s="8">
        <v>0.99893500000000002</v>
      </c>
      <c r="E16"/>
    </row>
    <row r="17" spans="1:5" x14ac:dyDescent="0.2">
      <c r="A17" s="1">
        <v>1100</v>
      </c>
      <c r="B17" s="17"/>
      <c r="C17" s="8">
        <v>0.99893500000000002</v>
      </c>
      <c r="E17"/>
    </row>
    <row r="18" spans="1:5" x14ac:dyDescent="0.2">
      <c r="A18" s="1">
        <v>1200</v>
      </c>
      <c r="B18" s="29"/>
      <c r="C18" s="8">
        <v>1</v>
      </c>
      <c r="E18"/>
    </row>
    <row r="19" spans="1:5" x14ac:dyDescent="0.2">
      <c r="A19" s="8"/>
      <c r="B19" s="28"/>
      <c r="C19" s="28"/>
      <c r="E19"/>
    </row>
    <row r="20" spans="1:5" x14ac:dyDescent="0.2">
      <c r="A20" s="8"/>
      <c r="B20" s="28"/>
      <c r="C20" s="28"/>
    </row>
    <row r="21" spans="1:5" x14ac:dyDescent="0.2">
      <c r="A21" s="28"/>
    </row>
    <row r="22" spans="1:5" x14ac:dyDescent="0.2">
      <c r="A22" s="28"/>
    </row>
    <row r="27" spans="1:5" x14ac:dyDescent="0.2">
      <c r="B27" s="14"/>
      <c r="C27" s="23"/>
      <c r="D27" s="23"/>
    </row>
    <row r="28" spans="1:5" x14ac:dyDescent="0.2">
      <c r="B28" s="14"/>
      <c r="C28" s="32"/>
      <c r="D28" s="32"/>
    </row>
    <row r="29" spans="1:5" x14ac:dyDescent="0.2">
      <c r="A29" s="14"/>
      <c r="B29" s="14"/>
      <c r="C29" s="33"/>
      <c r="D29" s="33"/>
    </row>
    <row r="30" spans="1:5" x14ac:dyDescent="0.2">
      <c r="A30" s="14"/>
      <c r="B30" s="14"/>
      <c r="C30" s="33"/>
      <c r="D30" s="33"/>
    </row>
    <row r="31" spans="1:5" x14ac:dyDescent="0.2">
      <c r="A31" s="14"/>
    </row>
    <row r="32" spans="1:5" x14ac:dyDescent="0.2">
      <c r="A32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27C16-ADA4-4611-AEF5-61AD3A47AD19}">
  <dimension ref="A1:E49"/>
  <sheetViews>
    <sheetView workbookViewId="0">
      <selection activeCell="E8" sqref="E8"/>
    </sheetView>
  </sheetViews>
  <sheetFormatPr baseColWidth="10" defaultColWidth="8.83203125" defaultRowHeight="16" x14ac:dyDescent="0.2"/>
  <cols>
    <col min="1" max="1" width="22.5" style="18" customWidth="1"/>
    <col min="2" max="2" width="17" style="28" customWidth="1"/>
    <col min="3" max="3" width="18.6640625" style="28" customWidth="1"/>
    <col min="4" max="4" width="23.6640625" style="18" customWidth="1"/>
    <col min="5" max="5" width="17.5" style="18" customWidth="1"/>
  </cols>
  <sheetData>
    <row r="1" spans="1:5" x14ac:dyDescent="0.2">
      <c r="A1" s="18" t="s">
        <v>8</v>
      </c>
      <c r="B1" s="17"/>
      <c r="C1" s="17"/>
      <c r="D1" s="10"/>
    </row>
    <row r="2" spans="1:5" x14ac:dyDescent="0.2">
      <c r="B2" s="17"/>
      <c r="C2" s="17"/>
      <c r="D2" s="10"/>
    </row>
    <row r="3" spans="1:5" x14ac:dyDescent="0.2">
      <c r="B3" s="17" t="s">
        <v>73</v>
      </c>
      <c r="C3" s="17"/>
      <c r="D3" s="10"/>
    </row>
    <row r="4" spans="1:5" x14ac:dyDescent="0.2">
      <c r="A4" s="26"/>
      <c r="B4" s="28">
        <v>183080005</v>
      </c>
      <c r="C4" s="28" t="s">
        <v>59</v>
      </c>
      <c r="D4" s="10"/>
    </row>
    <row r="5" spans="1:5" x14ac:dyDescent="0.2">
      <c r="A5" s="28" t="s">
        <v>60</v>
      </c>
      <c r="B5" s="17" t="s">
        <v>10</v>
      </c>
      <c r="C5" s="22" t="s">
        <v>56</v>
      </c>
      <c r="D5"/>
      <c r="E5"/>
    </row>
    <row r="6" spans="1:5" x14ac:dyDescent="0.2">
      <c r="A6" s="1">
        <v>0</v>
      </c>
      <c r="B6" s="1">
        <v>0</v>
      </c>
      <c r="C6" s="1">
        <v>0</v>
      </c>
      <c r="D6" s="28"/>
      <c r="E6" s="10"/>
    </row>
    <row r="7" spans="1:5" x14ac:dyDescent="0.2">
      <c r="A7" s="1">
        <v>10</v>
      </c>
      <c r="B7" s="40">
        <v>3.3079719999999998E-4</v>
      </c>
      <c r="C7" s="40">
        <v>3.3156499999999998E-3</v>
      </c>
      <c r="D7" s="28"/>
      <c r="E7" s="10"/>
    </row>
    <row r="8" spans="1:5" x14ac:dyDescent="0.2">
      <c r="A8" s="1">
        <v>20</v>
      </c>
      <c r="B8" s="40">
        <v>1.8855440000000001E-2</v>
      </c>
      <c r="C8" s="40">
        <v>3.8461540000000002E-2</v>
      </c>
      <c r="D8" s="28"/>
      <c r="E8" s="10"/>
    </row>
    <row r="9" spans="1:5" x14ac:dyDescent="0.2">
      <c r="A9" s="1">
        <v>30</v>
      </c>
      <c r="B9" s="40">
        <v>8.4684090000000004E-2</v>
      </c>
      <c r="C9" s="1">
        <v>0.23673739999999999</v>
      </c>
      <c r="D9" s="28"/>
      <c r="E9" s="10"/>
    </row>
    <row r="10" spans="1:5" x14ac:dyDescent="0.2">
      <c r="A10" s="1">
        <v>40</v>
      </c>
      <c r="B10" s="1">
        <v>0.26099899999999998</v>
      </c>
      <c r="C10" s="1">
        <v>0.39323609999999998</v>
      </c>
      <c r="D10" s="28"/>
      <c r="E10" s="10"/>
    </row>
    <row r="11" spans="1:5" x14ac:dyDescent="0.2">
      <c r="A11" s="1">
        <v>50</v>
      </c>
      <c r="B11" s="1">
        <v>0.4164737</v>
      </c>
      <c r="C11" s="1">
        <v>0.49137930000000002</v>
      </c>
      <c r="D11" s="28"/>
      <c r="E11" s="10"/>
    </row>
    <row r="12" spans="1:5" x14ac:dyDescent="0.2">
      <c r="A12" s="1">
        <v>60</v>
      </c>
      <c r="B12" s="1">
        <v>0.54614620000000003</v>
      </c>
      <c r="C12" s="1">
        <v>0.58222810000000003</v>
      </c>
      <c r="D12" s="28"/>
      <c r="E12" s="10"/>
    </row>
    <row r="13" spans="1:5" x14ac:dyDescent="0.2">
      <c r="A13" s="1">
        <v>70</v>
      </c>
      <c r="B13" s="1">
        <v>0.65861729999999996</v>
      </c>
      <c r="C13" s="1">
        <v>0.65915120000000005</v>
      </c>
      <c r="D13" s="28"/>
      <c r="E13" s="10"/>
    </row>
    <row r="14" spans="1:5" x14ac:dyDescent="0.2">
      <c r="A14" s="1">
        <v>80</v>
      </c>
      <c r="B14" s="1">
        <v>0.73536219999999997</v>
      </c>
      <c r="C14" s="1">
        <v>0.72148540000000005</v>
      </c>
      <c r="D14" s="28"/>
      <c r="E14" s="10"/>
    </row>
    <row r="15" spans="1:5" x14ac:dyDescent="0.2">
      <c r="A15" s="1">
        <v>90</v>
      </c>
      <c r="B15" s="1">
        <v>0.79093619999999998</v>
      </c>
      <c r="C15" s="1">
        <v>0.77122009999999996</v>
      </c>
      <c r="D15" s="28"/>
      <c r="E15" s="30"/>
    </row>
    <row r="16" spans="1:5" x14ac:dyDescent="0.2">
      <c r="A16" s="1">
        <v>100</v>
      </c>
      <c r="B16" s="1">
        <v>0.83890180000000003</v>
      </c>
      <c r="C16" s="1">
        <v>0.81631299999999996</v>
      </c>
      <c r="D16" s="28"/>
      <c r="E16" s="30"/>
    </row>
    <row r="17" spans="1:5" x14ac:dyDescent="0.2">
      <c r="A17" s="1">
        <v>110</v>
      </c>
      <c r="B17" s="1">
        <v>0.87992060000000005</v>
      </c>
      <c r="C17" s="1">
        <v>0.85411139999999997</v>
      </c>
      <c r="D17" s="10"/>
      <c r="E17" s="10"/>
    </row>
    <row r="18" spans="1:5" x14ac:dyDescent="0.2">
      <c r="A18" s="1">
        <v>120</v>
      </c>
      <c r="B18" s="1">
        <v>0.9149851</v>
      </c>
      <c r="C18" s="1">
        <v>0.88793100000000003</v>
      </c>
      <c r="D18" s="10"/>
      <c r="E18" s="10"/>
    </row>
    <row r="19" spans="1:5" x14ac:dyDescent="0.2">
      <c r="A19" s="1">
        <v>130</v>
      </c>
      <c r="B19" s="1">
        <v>0.93781009999999998</v>
      </c>
      <c r="C19" s="1">
        <v>0.91180369999999999</v>
      </c>
      <c r="D19" s="10"/>
      <c r="E19" s="10"/>
    </row>
    <row r="20" spans="1:5" x14ac:dyDescent="0.2">
      <c r="A20" s="1">
        <v>140</v>
      </c>
      <c r="B20" s="1">
        <v>0.95401919999999996</v>
      </c>
      <c r="C20" s="1">
        <v>0.93236079999999999</v>
      </c>
      <c r="D20" s="10"/>
      <c r="E20" s="10"/>
    </row>
    <row r="21" spans="1:5" x14ac:dyDescent="0.2">
      <c r="A21" s="1">
        <v>150</v>
      </c>
      <c r="B21" s="1">
        <v>0.96658949999999999</v>
      </c>
      <c r="C21" s="1">
        <v>0.9442971</v>
      </c>
      <c r="D21" s="10"/>
      <c r="E21" s="10"/>
    </row>
    <row r="22" spans="1:5" x14ac:dyDescent="0.2">
      <c r="A22" s="1">
        <v>160</v>
      </c>
      <c r="B22" s="1">
        <v>0.97452859999999997</v>
      </c>
      <c r="C22" s="1">
        <v>0.95689650000000004</v>
      </c>
      <c r="D22" s="10"/>
      <c r="E22" s="10"/>
    </row>
    <row r="23" spans="1:5" x14ac:dyDescent="0.2">
      <c r="A23" s="1">
        <v>170</v>
      </c>
      <c r="B23" s="1">
        <v>0.97882899999999995</v>
      </c>
      <c r="C23" s="1">
        <v>0.96684349999999997</v>
      </c>
    </row>
    <row r="24" spans="1:5" x14ac:dyDescent="0.2">
      <c r="A24" s="1">
        <v>180</v>
      </c>
      <c r="B24" s="1">
        <v>0.98478339999999998</v>
      </c>
      <c r="C24" s="1">
        <v>0.9754642</v>
      </c>
    </row>
    <row r="25" spans="1:5" x14ac:dyDescent="0.2">
      <c r="A25" s="1">
        <v>190</v>
      </c>
      <c r="B25" s="1">
        <v>0.98875290000000005</v>
      </c>
      <c r="C25" s="1">
        <v>0.98076920000000001</v>
      </c>
    </row>
    <row r="26" spans="1:5" x14ac:dyDescent="0.2">
      <c r="A26" s="1">
        <v>200</v>
      </c>
      <c r="B26" s="1">
        <v>0.99206079999999996</v>
      </c>
      <c r="C26" s="1">
        <v>0.98209550000000001</v>
      </c>
    </row>
    <row r="27" spans="1:5" x14ac:dyDescent="0.2">
      <c r="A27" s="1">
        <v>210</v>
      </c>
      <c r="B27" s="1">
        <v>0.99338409999999999</v>
      </c>
      <c r="C27" s="1">
        <v>0.98806360000000004</v>
      </c>
      <c r="D27" s="31"/>
      <c r="E27" s="23"/>
    </row>
    <row r="28" spans="1:5" x14ac:dyDescent="0.2">
      <c r="A28" s="1">
        <v>220</v>
      </c>
      <c r="B28" s="1">
        <v>0.99636130000000001</v>
      </c>
      <c r="C28" s="1">
        <v>0.99005310000000002</v>
      </c>
      <c r="D28" s="31"/>
      <c r="E28" s="32"/>
    </row>
    <row r="29" spans="1:5" x14ac:dyDescent="0.2">
      <c r="A29" s="1">
        <v>230</v>
      </c>
      <c r="B29" s="1">
        <v>0.99735359999999995</v>
      </c>
      <c r="C29" s="1">
        <v>0.99270559999999997</v>
      </c>
      <c r="D29" s="27"/>
      <c r="E29" s="33"/>
    </row>
    <row r="30" spans="1:5" x14ac:dyDescent="0.2">
      <c r="A30" s="1">
        <v>240</v>
      </c>
      <c r="B30" s="1">
        <v>0.99735359999999995</v>
      </c>
      <c r="C30" s="1">
        <v>0.99336869999999999</v>
      </c>
      <c r="D30" s="27"/>
      <c r="E30" s="33"/>
    </row>
    <row r="31" spans="1:5" x14ac:dyDescent="0.2">
      <c r="A31" s="1">
        <v>250</v>
      </c>
      <c r="B31" s="1">
        <v>0.99801519999999999</v>
      </c>
      <c r="C31" s="1">
        <v>0.99336869999999999</v>
      </c>
    </row>
    <row r="32" spans="1:5" x14ac:dyDescent="0.2">
      <c r="A32" s="1">
        <v>260</v>
      </c>
      <c r="B32" s="1">
        <v>0.99801519999999999</v>
      </c>
      <c r="C32" s="1">
        <v>0.99469490000000005</v>
      </c>
    </row>
    <row r="33" spans="1:3" x14ac:dyDescent="0.2">
      <c r="A33" s="1">
        <v>270</v>
      </c>
      <c r="B33" s="1">
        <v>0.99834599999999996</v>
      </c>
      <c r="C33" s="1">
        <v>0.99535810000000002</v>
      </c>
    </row>
    <row r="34" spans="1:3" x14ac:dyDescent="0.2">
      <c r="A34" s="1">
        <v>280</v>
      </c>
      <c r="B34" s="1">
        <v>0.99834599999999996</v>
      </c>
      <c r="C34" s="1">
        <v>0.99602120000000005</v>
      </c>
    </row>
    <row r="35" spans="1:3" x14ac:dyDescent="0.2">
      <c r="A35" s="1">
        <v>290</v>
      </c>
      <c r="B35" s="1">
        <v>0.99867680000000003</v>
      </c>
      <c r="C35" s="1">
        <v>0.99668440000000003</v>
      </c>
    </row>
    <row r="36" spans="1:3" x14ac:dyDescent="0.2">
      <c r="A36" s="1">
        <v>300</v>
      </c>
      <c r="B36" s="1">
        <v>0.99867680000000003</v>
      </c>
      <c r="C36" s="1">
        <v>0.99668440000000003</v>
      </c>
    </row>
    <row r="37" spans="1:3" x14ac:dyDescent="0.2">
      <c r="A37" s="1">
        <v>310</v>
      </c>
      <c r="B37" s="1">
        <v>0.99867680000000003</v>
      </c>
      <c r="C37" s="1">
        <v>0.99801059999999997</v>
      </c>
    </row>
    <row r="38" spans="1:3" x14ac:dyDescent="0.2">
      <c r="A38" s="1">
        <v>320</v>
      </c>
      <c r="B38" s="1">
        <v>0.9990076</v>
      </c>
      <c r="C38" s="1">
        <v>0.99801059999999997</v>
      </c>
    </row>
    <row r="39" spans="1:3" x14ac:dyDescent="0.2">
      <c r="A39" s="1">
        <v>330</v>
      </c>
      <c r="B39" s="1">
        <v>0.99966920000000004</v>
      </c>
      <c r="C39" s="1">
        <v>0.9986737</v>
      </c>
    </row>
    <row r="40" spans="1:3" x14ac:dyDescent="0.2">
      <c r="A40" s="1">
        <v>340</v>
      </c>
      <c r="B40" s="1">
        <v>0.99966920000000004</v>
      </c>
      <c r="C40" s="1">
        <v>0.9986737</v>
      </c>
    </row>
    <row r="41" spans="1:3" x14ac:dyDescent="0.2">
      <c r="A41" s="1">
        <v>350</v>
      </c>
      <c r="B41" s="1">
        <v>0.99966920000000004</v>
      </c>
      <c r="C41" s="1">
        <v>0.99933689999999997</v>
      </c>
    </row>
    <row r="42" spans="1:3" x14ac:dyDescent="0.2">
      <c r="A42" s="1">
        <v>360</v>
      </c>
      <c r="B42" s="1">
        <v>0.99966920000000004</v>
      </c>
      <c r="C42" s="1">
        <v>0.99933689999999997</v>
      </c>
    </row>
    <row r="43" spans="1:3" x14ac:dyDescent="0.2">
      <c r="A43" s="1">
        <v>370</v>
      </c>
      <c r="B43" s="1">
        <v>0.99966920000000004</v>
      </c>
      <c r="C43" s="1">
        <v>0.99933689999999997</v>
      </c>
    </row>
    <row r="44" spans="1:3" x14ac:dyDescent="0.2">
      <c r="A44" s="1">
        <v>380</v>
      </c>
      <c r="B44" s="1">
        <v>0.99966920000000004</v>
      </c>
      <c r="C44" s="1">
        <v>0.99933689999999997</v>
      </c>
    </row>
    <row r="45" spans="1:3" x14ac:dyDescent="0.2">
      <c r="A45" s="1">
        <v>390</v>
      </c>
      <c r="B45" s="1">
        <v>0.99966920000000004</v>
      </c>
      <c r="C45" s="1">
        <v>0.99933689999999997</v>
      </c>
    </row>
    <row r="46" spans="1:3" x14ac:dyDescent="0.2">
      <c r="A46" s="1">
        <v>400</v>
      </c>
      <c r="B46" s="1">
        <v>0.99966920000000004</v>
      </c>
      <c r="C46" s="1">
        <v>0.99933689999999997</v>
      </c>
    </row>
    <row r="47" spans="1:3" x14ac:dyDescent="0.2">
      <c r="A47" s="1">
        <v>410</v>
      </c>
      <c r="B47" s="1">
        <v>1</v>
      </c>
      <c r="C47" s="1">
        <v>0.99933689999999997</v>
      </c>
    </row>
    <row r="48" spans="1:3" x14ac:dyDescent="0.2">
      <c r="A48" s="1">
        <v>420</v>
      </c>
      <c r="C48" s="1">
        <v>0.99933689999999997</v>
      </c>
    </row>
    <row r="49" spans="1:3" x14ac:dyDescent="0.2">
      <c r="A49" s="1">
        <v>430</v>
      </c>
      <c r="C49" s="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bcf6bafc-c78f-4879-8543-1a162f37a6d6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4A5DA11ACD354298075F4EF45E3F50" ma:contentTypeVersion="17" ma:contentTypeDescription="Create a new document." ma:contentTypeScope="" ma:versionID="9cda861493123a9a4b01fa7370d203fa">
  <xsd:schema xmlns:xsd="http://www.w3.org/2001/XMLSchema" xmlns:xs="http://www.w3.org/2001/XMLSchema" xmlns:p="http://schemas.microsoft.com/office/2006/metadata/properties" xmlns:ns1="http://schemas.microsoft.com/sharepoint/v3" xmlns:ns3="bcf6bafc-c78f-4879-8543-1a162f37a6d6" targetNamespace="http://schemas.microsoft.com/office/2006/metadata/properties" ma:root="true" ma:fieldsID="2e276906ca8179750832f51afe984a09" ns1:_="" ns3:_="">
    <xsd:import namespace="http://schemas.microsoft.com/sharepoint/v3"/>
    <xsd:import namespace="bcf6bafc-c78f-4879-8543-1a162f37a6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6bafc-c78f-4879-8543-1a162f37a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B4C838-754B-4DC8-A362-2A1D39BB289C}">
  <ds:schemaRefs>
    <ds:schemaRef ds:uri="http://schemas.microsoft.com/sharepoint/v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bcf6bafc-c78f-4879-8543-1a162f37a6d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CBC2E2-40FC-43C5-B6B6-6086F877A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0E5D25-FA91-4B83-8E93-5ACF76561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f6bafc-c78f-4879-8543-1a162f37a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Fig 1</vt:lpstr>
      <vt:lpstr>Fig 2C</vt:lpstr>
      <vt:lpstr>Fig 2D</vt:lpstr>
      <vt:lpstr>Fig 3 E-J</vt:lpstr>
      <vt:lpstr>Fig 4</vt:lpstr>
      <vt:lpstr>Fig 5C</vt:lpstr>
      <vt:lpstr>Fig 5D</vt:lpstr>
      <vt:lpstr>Fig 6C</vt:lpstr>
      <vt:lpstr>Fig 6D</vt:lpstr>
      <vt:lpstr>Fig 6E</vt:lpstr>
      <vt:lpstr>Fig 6F</vt:lpstr>
      <vt:lpstr>Fig 7C</vt:lpstr>
      <vt:lpstr>Fig 7D</vt:lpstr>
      <vt:lpstr>Fig 7E</vt:lpstr>
      <vt:lpstr>Fig 7F</vt:lpstr>
      <vt:lpstr>Fig 8C</vt:lpstr>
      <vt:lpstr>Suppl Fig 2A</vt:lpstr>
      <vt:lpstr>Suppl Fig 2B</vt:lpstr>
      <vt:lpstr>Suppl Fig 3A</vt:lpstr>
      <vt:lpstr>Suppl Fig 3B</vt:lpstr>
      <vt:lpstr>Suppl Fig 3C</vt:lpstr>
      <vt:lpstr>Suppl Fig 3D</vt:lpstr>
      <vt:lpstr>Suppl Fig 3E</vt:lpstr>
      <vt:lpstr>Suppl Fig 3F</vt:lpstr>
      <vt:lpstr>Suppl Fig 3G</vt:lpstr>
      <vt:lpstr>Suppl Fig 3H</vt:lpstr>
      <vt:lpstr>Suppl Fig 4C</vt:lpstr>
      <vt:lpstr>Suppl Fig 4D</vt:lpstr>
      <vt:lpstr>Suppl Fig 5</vt:lpstr>
      <vt:lpstr>Suppl Fig 6</vt:lpstr>
      <vt:lpstr>Suppl Fig 7</vt:lpstr>
      <vt:lpstr>Suppl Fig 8</vt:lpstr>
      <vt:lpstr>Suppl Fig 9</vt:lpstr>
      <vt:lpstr>Suppl Fig 10A</vt:lpstr>
      <vt:lpstr>Suppl Fig 10B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Yuan, Yukun</dc:creator>
  <cp:lastModifiedBy>Bakshi, Shreeya</cp:lastModifiedBy>
  <dcterms:created xsi:type="dcterms:W3CDTF">2024-05-01T12:49:44Z</dcterms:created>
  <dcterms:modified xsi:type="dcterms:W3CDTF">2025-06-05T02:03:23Z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0x010100004A5DA11ACD354298075F4EF45E3F50</vt:lpwstr>
  </property>
</Properties>
</file>