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ttps://umhealth-my.sharepoint.com/personal/tsisson_med_umich_edu/Documents/Desktop/Manuscripts/PAI-1 SorlA Manuscript/Prism Files for Graphs/"/>
    </mc:Choice>
  </mc:AlternateContent>
  <xr:revisionPtr revIDLastSave="1306" documentId="8_{CA446FE2-EE17-40B0-A3A4-287CC57806F4}" xr6:coauthVersionLast="47" xr6:coauthVersionMax="47" xr10:uidLastSave="{8DA2E131-FB7D-4AF0-AA3F-CF78FAECA47F}"/>
  <bookViews>
    <workbookView xWindow="120" yWindow="1392" windowWidth="20208" windowHeight="8964" firstSheet="9" activeTab="10" xr2:uid="{00000000-000D-0000-FFFF-FFFF00000000}"/>
  </bookViews>
  <sheets>
    <sheet name="Fig 1B" sheetId="5" r:id="rId1"/>
    <sheet name="Fig 1C" sheetId="6" r:id="rId2"/>
    <sheet name="Fig 1D" sheetId="7" r:id="rId3"/>
    <sheet name="Fig 1E" sheetId="8" r:id="rId4"/>
    <sheet name="Fig 1F" sheetId="9" r:id="rId5"/>
    <sheet name="Fig 2B" sheetId="2" r:id="rId6"/>
    <sheet name="Fig 2C" sheetId="3" r:id="rId7"/>
    <sheet name="Fig 2D" sheetId="1" r:id="rId8"/>
    <sheet name="Fig 2F" sheetId="4" r:id="rId9"/>
    <sheet name="Fig 3A-C" sheetId="10" r:id="rId10"/>
    <sheet name="Fig 4A" sheetId="15" r:id="rId11"/>
    <sheet name="Fig 4B-D" sheetId="14" r:id="rId12"/>
    <sheet name="Fig 5A" sheetId="11" r:id="rId13"/>
    <sheet name="Fig 5B" sheetId="12" r:id="rId14"/>
    <sheet name="Fig 5E" sheetId="13" r:id="rId15"/>
    <sheet name="Fig 6C" sheetId="25" r:id="rId16"/>
    <sheet name="Supplemental Figure 1" sheetId="24" r:id="rId17"/>
    <sheet name="Supplemental Fig 2" sheetId="22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xlnm.Print_Area" localSheetId="7">'Fig 2D'!$A$1:$R$134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9" i="14" l="1"/>
  <c r="L68" i="14"/>
  <c r="K69" i="14"/>
  <c r="K68" i="14"/>
  <c r="I15" i="14"/>
  <c r="H15" i="14"/>
  <c r="I8" i="14"/>
  <c r="H8" i="14"/>
  <c r="I51" i="25"/>
  <c r="H51" i="25"/>
  <c r="J5" i="25"/>
  <c r="I5" i="25"/>
  <c r="P75" i="13"/>
  <c r="P71" i="13"/>
  <c r="N75" i="13" s="1"/>
  <c r="O75" i="13"/>
  <c r="O71" i="13"/>
  <c r="N79" i="13"/>
  <c r="M79" i="13"/>
  <c r="N77" i="13"/>
  <c r="M77" i="13"/>
  <c r="M75" i="13"/>
  <c r="M73" i="13"/>
  <c r="N73" i="13"/>
  <c r="N71" i="13"/>
  <c r="M71" i="13"/>
  <c r="N66" i="13"/>
  <c r="M66" i="13"/>
  <c r="P62" i="13"/>
  <c r="P58" i="13"/>
  <c r="O62" i="13"/>
  <c r="O58" i="13"/>
  <c r="N64" i="13"/>
  <c r="N62" i="13"/>
  <c r="N60" i="13"/>
  <c r="N58" i="13"/>
  <c r="M64" i="13"/>
  <c r="M62" i="13"/>
  <c r="M60" i="13"/>
  <c r="M58" i="13"/>
  <c r="H348" i="13"/>
  <c r="H375" i="13"/>
  <c r="E375" i="13"/>
  <c r="H372" i="13"/>
  <c r="E372" i="13"/>
  <c r="H369" i="13"/>
  <c r="E369" i="13"/>
  <c r="H366" i="13"/>
  <c r="E366" i="13"/>
  <c r="H363" i="13"/>
  <c r="E363" i="13"/>
  <c r="H360" i="13"/>
  <c r="E360" i="13"/>
  <c r="H357" i="13"/>
  <c r="E357" i="13"/>
  <c r="H354" i="13"/>
  <c r="E354" i="13"/>
  <c r="H351" i="13"/>
  <c r="E351" i="13"/>
  <c r="G348" i="13"/>
  <c r="E348" i="13"/>
  <c r="H345" i="13"/>
  <c r="E345" i="13"/>
  <c r="H342" i="13"/>
  <c r="E342" i="13"/>
  <c r="H339" i="13"/>
  <c r="E339" i="13"/>
  <c r="H336" i="13"/>
  <c r="I336" i="13" s="1"/>
  <c r="E336" i="13"/>
  <c r="H333" i="13"/>
  <c r="I333" i="13" s="1"/>
  <c r="E333" i="13"/>
  <c r="H330" i="13"/>
  <c r="I330" i="13" s="1"/>
  <c r="E330" i="13"/>
  <c r="H327" i="13"/>
  <c r="I327" i="13" s="1"/>
  <c r="E327" i="13"/>
  <c r="H324" i="13"/>
  <c r="I324" i="13" s="1"/>
  <c r="E324" i="13"/>
  <c r="H321" i="13"/>
  <c r="I321" i="13" s="1"/>
  <c r="E321" i="13"/>
  <c r="H318" i="13"/>
  <c r="I318" i="13" s="1"/>
  <c r="E318" i="13"/>
  <c r="H315" i="13"/>
  <c r="I315" i="13" s="1"/>
  <c r="E315" i="13"/>
  <c r="H312" i="13"/>
  <c r="I312" i="13" s="1"/>
  <c r="E312" i="13"/>
  <c r="H309" i="13"/>
  <c r="E309" i="13"/>
  <c r="H306" i="13"/>
  <c r="E306" i="13"/>
  <c r="H303" i="13"/>
  <c r="E303" i="13"/>
  <c r="H300" i="13"/>
  <c r="E300" i="13"/>
  <c r="H297" i="13"/>
  <c r="E297" i="13"/>
  <c r="H294" i="13"/>
  <c r="E294" i="13"/>
  <c r="H291" i="13"/>
  <c r="E291" i="13"/>
  <c r="H288" i="13"/>
  <c r="I288" i="13" s="1"/>
  <c r="E288" i="13"/>
  <c r="H286" i="13"/>
  <c r="I286" i="13" s="1"/>
  <c r="E286" i="13"/>
  <c r="H282" i="13"/>
  <c r="I282" i="13" s="1"/>
  <c r="E282" i="13"/>
  <c r="H279" i="13"/>
  <c r="I279" i="13" s="1"/>
  <c r="E279" i="13"/>
  <c r="H276" i="13"/>
  <c r="I276" i="13" s="1"/>
  <c r="E276" i="13"/>
  <c r="H273" i="13"/>
  <c r="I273" i="13" s="1"/>
  <c r="E273" i="13"/>
  <c r="H270" i="13"/>
  <c r="I270" i="13" s="1"/>
  <c r="E270" i="13"/>
  <c r="H268" i="13"/>
  <c r="I268" i="13" s="1"/>
  <c r="E268" i="13"/>
  <c r="H264" i="13"/>
  <c r="E264" i="13"/>
  <c r="H261" i="13"/>
  <c r="E261" i="13"/>
  <c r="H258" i="13"/>
  <c r="E258" i="13"/>
  <c r="H255" i="13"/>
  <c r="E255" i="13"/>
  <c r="H252" i="13"/>
  <c r="E252" i="13"/>
  <c r="H249" i="13"/>
  <c r="E249" i="13"/>
  <c r="H246" i="13"/>
  <c r="E246" i="13"/>
  <c r="H243" i="13"/>
  <c r="E243" i="13"/>
  <c r="H240" i="13"/>
  <c r="E240" i="13"/>
  <c r="H237" i="13"/>
  <c r="E237" i="13"/>
  <c r="H234" i="13"/>
  <c r="E234" i="13"/>
  <c r="E222" i="13"/>
  <c r="F222" i="13" s="1"/>
  <c r="I222" i="13" s="1"/>
  <c r="E219" i="13"/>
  <c r="F219" i="13" s="1"/>
  <c r="I219" i="13" s="1"/>
  <c r="E216" i="13"/>
  <c r="F216" i="13" s="1"/>
  <c r="I216" i="13" s="1"/>
  <c r="E213" i="13"/>
  <c r="F213" i="13" s="1"/>
  <c r="I213" i="13" s="1"/>
  <c r="E210" i="13"/>
  <c r="F210" i="13" s="1"/>
  <c r="I210" i="13" s="1"/>
  <c r="J210" i="13" s="1"/>
  <c r="E207" i="13"/>
  <c r="F207" i="13" s="1"/>
  <c r="I207" i="13" s="1"/>
  <c r="J207" i="13" s="1"/>
  <c r="E204" i="13"/>
  <c r="F204" i="13" s="1"/>
  <c r="I204" i="13" s="1"/>
  <c r="J204" i="13" s="1"/>
  <c r="E201" i="13"/>
  <c r="F201" i="13" s="1"/>
  <c r="I201" i="13" s="1"/>
  <c r="J201" i="13" s="1"/>
  <c r="E198" i="13"/>
  <c r="F198" i="13" s="1"/>
  <c r="I198" i="13" s="1"/>
  <c r="J198" i="13" s="1"/>
  <c r="E195" i="13"/>
  <c r="F195" i="13" s="1"/>
  <c r="I195" i="13" s="1"/>
  <c r="J195" i="13" s="1"/>
  <c r="E192" i="13"/>
  <c r="F192" i="13" s="1"/>
  <c r="I192" i="13" s="1"/>
  <c r="E189" i="13"/>
  <c r="F189" i="13" s="1"/>
  <c r="I189" i="13" s="1"/>
  <c r="E186" i="13"/>
  <c r="F186" i="13" s="1"/>
  <c r="I186" i="13" s="1"/>
  <c r="E183" i="13"/>
  <c r="F183" i="13" s="1"/>
  <c r="I183" i="13" s="1"/>
  <c r="E180" i="13"/>
  <c r="F180" i="13" s="1"/>
  <c r="I180" i="13" s="1"/>
  <c r="J180" i="13" s="1"/>
  <c r="E177" i="13"/>
  <c r="F177" i="13" s="1"/>
  <c r="I177" i="13" s="1"/>
  <c r="J177" i="13" s="1"/>
  <c r="E174" i="13"/>
  <c r="F174" i="13" s="1"/>
  <c r="I174" i="13" s="1"/>
  <c r="J174" i="13" s="1"/>
  <c r="E171" i="13"/>
  <c r="F171" i="13" s="1"/>
  <c r="I171" i="13" s="1"/>
  <c r="J171" i="13" s="1"/>
  <c r="E168" i="13"/>
  <c r="F168" i="13" s="1"/>
  <c r="I168" i="13" s="1"/>
  <c r="J168" i="13" s="1"/>
  <c r="E166" i="13"/>
  <c r="F166" i="13" s="1"/>
  <c r="I166" i="13" s="1"/>
  <c r="J166" i="13" s="1"/>
  <c r="E114" i="13"/>
  <c r="F114" i="13" s="1"/>
  <c r="H114" i="13" s="1"/>
  <c r="E111" i="13"/>
  <c r="F111" i="13" s="1"/>
  <c r="H111" i="13" s="1"/>
  <c r="E108" i="13"/>
  <c r="F108" i="13" s="1"/>
  <c r="H108" i="13" s="1"/>
  <c r="E105" i="13"/>
  <c r="F105" i="13" s="1"/>
  <c r="H105" i="13" s="1"/>
  <c r="E102" i="13"/>
  <c r="F102" i="13" s="1"/>
  <c r="H102" i="13" s="1"/>
  <c r="E99" i="13"/>
  <c r="F99" i="13" s="1"/>
  <c r="H99" i="13" s="1"/>
  <c r="K90" i="24"/>
  <c r="J90" i="24"/>
  <c r="K88" i="24"/>
  <c r="J88" i="24"/>
  <c r="I90" i="24"/>
  <c r="H90" i="24"/>
  <c r="I78" i="24"/>
  <c r="H78" i="24"/>
  <c r="K108" i="24"/>
  <c r="J108" i="24"/>
  <c r="I108" i="24"/>
  <c r="I99" i="24"/>
  <c r="K106" i="24"/>
  <c r="J106" i="24"/>
  <c r="H108" i="24"/>
  <c r="H99" i="24"/>
  <c r="E106" i="24"/>
  <c r="F106" i="24" s="1"/>
  <c r="H106" i="24" s="1"/>
  <c r="I106" i="24" s="1"/>
  <c r="E103" i="24"/>
  <c r="F103" i="24" s="1"/>
  <c r="H103" i="24" s="1"/>
  <c r="I103" i="24" s="1"/>
  <c r="E100" i="24"/>
  <c r="F100" i="24" s="1"/>
  <c r="H100" i="24" s="1"/>
  <c r="I100" i="24" s="1"/>
  <c r="E88" i="24"/>
  <c r="F88" i="24" s="1"/>
  <c r="H88" i="24" s="1"/>
  <c r="I88" i="24" s="1"/>
  <c r="E85" i="24"/>
  <c r="F85" i="24" s="1"/>
  <c r="H85" i="24" s="1"/>
  <c r="I85" i="24" s="1"/>
  <c r="E82" i="24"/>
  <c r="F82" i="24" s="1"/>
  <c r="H82" i="24" s="1"/>
  <c r="I82" i="24" s="1"/>
  <c r="E79" i="24"/>
  <c r="F79" i="24" s="1"/>
  <c r="H79" i="24" s="1"/>
  <c r="I79" i="24" s="1"/>
  <c r="E97" i="24"/>
  <c r="F97" i="24" s="1"/>
  <c r="H97" i="24" s="1"/>
  <c r="I97" i="24" s="1"/>
  <c r="E94" i="24"/>
  <c r="F94" i="24" s="1"/>
  <c r="H94" i="24" s="1"/>
  <c r="I94" i="24" s="1"/>
  <c r="E91" i="24"/>
  <c r="F91" i="24" s="1"/>
  <c r="H91" i="24" s="1"/>
  <c r="I91" i="24" s="1"/>
  <c r="E76" i="24"/>
  <c r="F76" i="24" s="1"/>
  <c r="H76" i="24" s="1"/>
  <c r="I76" i="24" s="1"/>
  <c r="E73" i="24"/>
  <c r="F73" i="24" s="1"/>
  <c r="H73" i="24" s="1"/>
  <c r="I73" i="24" s="1"/>
  <c r="E70" i="24"/>
  <c r="F70" i="24" s="1"/>
  <c r="H70" i="24" s="1"/>
  <c r="I70" i="24" s="1"/>
  <c r="E67" i="24"/>
  <c r="F67" i="24" s="1"/>
  <c r="H67" i="24" s="1"/>
  <c r="I67" i="24" s="1"/>
  <c r="E118" i="24"/>
  <c r="D118" i="24"/>
  <c r="G117" i="24"/>
  <c r="F117" i="24"/>
  <c r="G116" i="24"/>
  <c r="F116" i="24"/>
  <c r="G115" i="24"/>
  <c r="F115" i="24"/>
  <c r="G114" i="24"/>
  <c r="F114" i="24"/>
  <c r="G113" i="24"/>
  <c r="F113" i="24"/>
  <c r="G112" i="24"/>
  <c r="F112" i="24"/>
  <c r="E63" i="24"/>
  <c r="F63" i="24" s="1"/>
  <c r="G63" i="24" s="1"/>
  <c r="E60" i="24"/>
  <c r="F60" i="24" s="1"/>
  <c r="G60" i="24" s="1"/>
  <c r="E57" i="24"/>
  <c r="F57" i="24" s="1"/>
  <c r="G57" i="24" s="1"/>
  <c r="E54" i="24"/>
  <c r="F54" i="24" s="1"/>
  <c r="G54" i="24" s="1"/>
  <c r="E51" i="24"/>
  <c r="F51" i="24" s="1"/>
  <c r="E48" i="24"/>
  <c r="F48" i="24" s="1"/>
  <c r="G48" i="24" s="1"/>
  <c r="E45" i="24"/>
  <c r="F45" i="24" s="1"/>
  <c r="G45" i="24" s="1"/>
  <c r="E42" i="24"/>
  <c r="F42" i="24" s="1"/>
  <c r="G42" i="24" s="1"/>
  <c r="E39" i="24"/>
  <c r="F39" i="24" s="1"/>
  <c r="G39" i="24" s="1"/>
  <c r="E36" i="24"/>
  <c r="F36" i="24" s="1"/>
  <c r="E33" i="24"/>
  <c r="F33" i="24" s="1"/>
  <c r="G33" i="24" s="1"/>
  <c r="E30" i="24"/>
  <c r="F30" i="24" s="1"/>
  <c r="G30" i="24" s="1"/>
  <c r="E27" i="24"/>
  <c r="F27" i="24" s="1"/>
  <c r="G27" i="24" s="1"/>
  <c r="E25" i="24"/>
  <c r="F25" i="24" s="1"/>
  <c r="G25" i="24" s="1"/>
  <c r="E21" i="24"/>
  <c r="F21" i="24" s="1"/>
  <c r="G21" i="24" s="1"/>
  <c r="E18" i="24"/>
  <c r="F18" i="24" s="1"/>
  <c r="G18" i="24" s="1"/>
  <c r="E15" i="24"/>
  <c r="F15" i="24" s="1"/>
  <c r="G15" i="24" s="1"/>
  <c r="Q13" i="24"/>
  <c r="Q12" i="24"/>
  <c r="E12" i="24"/>
  <c r="F12" i="24" s="1"/>
  <c r="G12" i="24" s="1"/>
  <c r="Q11" i="24"/>
  <c r="Q10" i="24"/>
  <c r="Q9" i="24"/>
  <c r="E9" i="24"/>
  <c r="F9" i="24" s="1"/>
  <c r="G9" i="24" s="1"/>
  <c r="Q8" i="24"/>
  <c r="Q7" i="24"/>
  <c r="E7" i="24"/>
  <c r="F7" i="24" s="1"/>
  <c r="Q6" i="24"/>
  <c r="E99" i="2"/>
  <c r="F99" i="2" s="1"/>
  <c r="E96" i="2"/>
  <c r="F96" i="2" s="1"/>
  <c r="H96" i="2" s="1"/>
  <c r="E93" i="2"/>
  <c r="F93" i="2" s="1"/>
  <c r="H93" i="2" s="1"/>
  <c r="E90" i="2"/>
  <c r="F90" i="2" s="1"/>
  <c r="H90" i="2" s="1"/>
  <c r="E87" i="2"/>
  <c r="F87" i="2" s="1"/>
  <c r="H87" i="2" s="1"/>
  <c r="E84" i="2"/>
  <c r="F84" i="2" s="1"/>
  <c r="H84" i="2" s="1"/>
  <c r="E81" i="2"/>
  <c r="F81" i="2" s="1"/>
  <c r="H81" i="2" s="1"/>
  <c r="E78" i="2"/>
  <c r="F78" i="2" s="1"/>
  <c r="H78" i="2" s="1"/>
  <c r="E75" i="2"/>
  <c r="F75" i="2" s="1"/>
  <c r="H75" i="2" s="1"/>
  <c r="E72" i="2"/>
  <c r="F72" i="2" s="1"/>
  <c r="H72" i="2" s="1"/>
  <c r="E69" i="2"/>
  <c r="F69" i="2" s="1"/>
  <c r="H69" i="2" s="1"/>
  <c r="E67" i="2"/>
  <c r="F67" i="2" s="1"/>
  <c r="H67" i="2" s="1"/>
  <c r="E63" i="2"/>
  <c r="F63" i="2" s="1"/>
  <c r="H63" i="2" s="1"/>
  <c r="E60" i="2"/>
  <c r="F60" i="2" s="1"/>
  <c r="H60" i="2" s="1"/>
  <c r="E57" i="2"/>
  <c r="F57" i="2" s="1"/>
  <c r="H57" i="2" s="1"/>
  <c r="E54" i="2"/>
  <c r="F54" i="2" s="1"/>
  <c r="H54" i="2" s="1"/>
  <c r="E51" i="2"/>
  <c r="F51" i="2" s="1"/>
  <c r="H51" i="2" s="1"/>
  <c r="E48" i="2"/>
  <c r="F48" i="2" s="1"/>
  <c r="H48" i="2" s="1"/>
  <c r="E45" i="2"/>
  <c r="F45" i="2" s="1"/>
  <c r="H45" i="2" s="1"/>
  <c r="E42" i="2"/>
  <c r="F42" i="2" s="1"/>
  <c r="H42" i="2" s="1"/>
  <c r="E39" i="2"/>
  <c r="F39" i="2" s="1"/>
  <c r="H39" i="2" s="1"/>
  <c r="E36" i="2"/>
  <c r="F36" i="2" s="1"/>
  <c r="H36" i="2" s="1"/>
  <c r="E33" i="2"/>
  <c r="F33" i="2" s="1"/>
  <c r="H33" i="2" s="1"/>
  <c r="E30" i="2"/>
  <c r="F30" i="2" s="1"/>
  <c r="H30" i="2" s="1"/>
  <c r="F27" i="2"/>
  <c r="H27" i="2" s="1"/>
  <c r="E27" i="2"/>
  <c r="E24" i="2"/>
  <c r="F24" i="2" s="1"/>
  <c r="H24" i="2" s="1"/>
  <c r="E22" i="2"/>
  <c r="F22" i="2" s="1"/>
  <c r="H22" i="2" s="1"/>
  <c r="E18" i="2"/>
  <c r="F18" i="2" s="1"/>
  <c r="H18" i="2" s="1"/>
  <c r="F15" i="2"/>
  <c r="H15" i="2" s="1"/>
  <c r="E15" i="2"/>
  <c r="F12" i="2"/>
  <c r="H12" i="2" s="1"/>
  <c r="E12" i="2"/>
  <c r="F9" i="2"/>
  <c r="H9" i="2" s="1"/>
  <c r="E9" i="2"/>
  <c r="E7" i="2"/>
  <c r="F7" i="2" s="1"/>
  <c r="H7" i="2" s="1"/>
  <c r="L59" i="3"/>
  <c r="L58" i="3"/>
  <c r="F58" i="3"/>
  <c r="F59" i="3"/>
  <c r="L41" i="3"/>
  <c r="L40" i="3"/>
  <c r="F41" i="3"/>
  <c r="F40" i="3"/>
  <c r="N78" i="4"/>
  <c r="M78" i="4"/>
  <c r="N62" i="4"/>
  <c r="M62" i="4"/>
  <c r="F62" i="4"/>
  <c r="G48" i="4"/>
  <c r="F48" i="4"/>
  <c r="M48" i="4"/>
  <c r="N48" i="4"/>
  <c r="G34" i="4"/>
  <c r="G89" i="9"/>
  <c r="F89" i="9"/>
  <c r="F62" i="7"/>
  <c r="E62" i="7"/>
  <c r="E96" i="7"/>
  <c r="F55" i="9"/>
  <c r="G45" i="9"/>
  <c r="F45" i="9"/>
  <c r="F96" i="7"/>
  <c r="F84" i="7"/>
  <c r="E84" i="7"/>
  <c r="F44" i="7"/>
  <c r="E44" i="7"/>
  <c r="L81" i="3"/>
  <c r="L74" i="3"/>
  <c r="F81" i="3"/>
  <c r="F80" i="3"/>
  <c r="F75" i="3"/>
  <c r="F74" i="3"/>
  <c r="F78" i="4"/>
  <c r="G62" i="4"/>
  <c r="N34" i="4"/>
  <c r="M34" i="4"/>
  <c r="L21" i="4"/>
  <c r="K40" i="3"/>
  <c r="K32" i="3"/>
  <c r="K30" i="3"/>
  <c r="K28" i="3"/>
  <c r="E19" i="3"/>
  <c r="E17" i="3"/>
  <c r="E15" i="3"/>
  <c r="E13" i="3"/>
  <c r="E11" i="3"/>
  <c r="E9" i="3"/>
  <c r="E7" i="3"/>
  <c r="J19" i="3"/>
  <c r="J17" i="3"/>
  <c r="J15" i="3"/>
  <c r="J13" i="3"/>
  <c r="J11" i="3"/>
  <c r="J9" i="3"/>
  <c r="J7" i="3"/>
  <c r="N53" i="13" l="1"/>
  <c r="N49" i="13"/>
  <c r="P51" i="13"/>
  <c r="P47" i="13"/>
  <c r="M51" i="13"/>
  <c r="M53" i="13"/>
  <c r="O47" i="13"/>
  <c r="N51" i="13"/>
  <c r="O51" i="13"/>
  <c r="M47" i="13"/>
  <c r="N47" i="13"/>
  <c r="M49" i="13"/>
  <c r="N31" i="13"/>
  <c r="M31" i="13"/>
  <c r="J62" i="24"/>
  <c r="J33" i="24"/>
  <c r="I33" i="24"/>
  <c r="I62" i="24"/>
  <c r="F118" i="24"/>
  <c r="G118" i="24"/>
  <c r="H35" i="24"/>
  <c r="G36" i="24"/>
  <c r="G51" i="24"/>
  <c r="H64" i="24" s="1"/>
  <c r="G7" i="24"/>
  <c r="K27" i="2"/>
  <c r="L27" i="2"/>
  <c r="L23" i="2"/>
  <c r="K23" i="2"/>
  <c r="L21" i="2"/>
  <c r="K21" i="2"/>
  <c r="L25" i="2"/>
  <c r="K25" i="2"/>
  <c r="L80" i="3"/>
  <c r="L75" i="3"/>
  <c r="G78" i="4"/>
  <c r="L21" i="1"/>
  <c r="H20" i="24" l="1"/>
  <c r="J35" i="24"/>
  <c r="I35" i="24"/>
  <c r="J64" i="24"/>
  <c r="I64" i="24"/>
  <c r="H50" i="24"/>
  <c r="E156" i="13"/>
  <c r="F156" i="13" s="1"/>
  <c r="H156" i="13" s="1"/>
  <c r="E153" i="13"/>
  <c r="F153" i="13" s="1"/>
  <c r="H153" i="13" s="1"/>
  <c r="E150" i="13"/>
  <c r="F150" i="13" s="1"/>
  <c r="H150" i="13" s="1"/>
  <c r="E147" i="13"/>
  <c r="F147" i="13" s="1"/>
  <c r="E144" i="13"/>
  <c r="F144" i="13"/>
  <c r="H144" i="13" s="1"/>
  <c r="E141" i="13"/>
  <c r="F141" i="13" s="1"/>
  <c r="H141" i="13" s="1"/>
  <c r="E138" i="13"/>
  <c r="F138" i="13" s="1"/>
  <c r="E135" i="13"/>
  <c r="F135" i="13" s="1"/>
  <c r="H135" i="13" s="1"/>
  <c r="E132" i="13"/>
  <c r="F132" i="13" s="1"/>
  <c r="H132" i="13" s="1"/>
  <c r="E129" i="13"/>
  <c r="F129" i="13" s="1"/>
  <c r="H129" i="13" s="1"/>
  <c r="E126" i="13"/>
  <c r="F126" i="13" s="1"/>
  <c r="E123" i="13"/>
  <c r="F123" i="13" s="1"/>
  <c r="H123" i="13" s="1"/>
  <c r="E120" i="13"/>
  <c r="F120" i="13" s="1"/>
  <c r="H120" i="13" s="1"/>
  <c r="E117" i="13"/>
  <c r="F117" i="13" s="1"/>
  <c r="E96" i="13"/>
  <c r="F96" i="13" s="1"/>
  <c r="H96" i="13" s="1"/>
  <c r="E93" i="13"/>
  <c r="F93" i="13" s="1"/>
  <c r="H93" i="13" s="1"/>
  <c r="E90" i="13"/>
  <c r="F90" i="13" s="1"/>
  <c r="H90" i="13" s="1"/>
  <c r="E87" i="13"/>
  <c r="F87" i="13" s="1"/>
  <c r="H87" i="13" s="1"/>
  <c r="E84" i="13"/>
  <c r="F84" i="13" s="1"/>
  <c r="H84" i="13" s="1"/>
  <c r="E81" i="13"/>
  <c r="F81" i="13" s="1"/>
  <c r="H81" i="13" s="1"/>
  <c r="E78" i="13"/>
  <c r="F78" i="13" s="1"/>
  <c r="H78" i="13" s="1"/>
  <c r="E75" i="13"/>
  <c r="F75" i="13" s="1"/>
  <c r="E72" i="13"/>
  <c r="F72" i="13" s="1"/>
  <c r="H72" i="13" s="1"/>
  <c r="I72" i="13" s="1"/>
  <c r="E69" i="13"/>
  <c r="F69" i="13" s="1"/>
  <c r="H69" i="13" s="1"/>
  <c r="I69" i="13" s="1"/>
  <c r="E66" i="13"/>
  <c r="F66" i="13" s="1"/>
  <c r="H66" i="13" s="1"/>
  <c r="I66" i="13" s="1"/>
  <c r="E63" i="13"/>
  <c r="F63" i="13" s="1"/>
  <c r="H63" i="13" s="1"/>
  <c r="I63" i="13" s="1"/>
  <c r="E60" i="13"/>
  <c r="F60" i="13" s="1"/>
  <c r="H60" i="13" s="1"/>
  <c r="I60" i="13" s="1"/>
  <c r="E57" i="13"/>
  <c r="F57" i="13" s="1"/>
  <c r="H57" i="13" s="1"/>
  <c r="E54" i="13"/>
  <c r="F54" i="13" s="1"/>
  <c r="E51" i="13"/>
  <c r="F51" i="13" s="1"/>
  <c r="H51" i="13" s="1"/>
  <c r="I51" i="13" s="1"/>
  <c r="E48" i="13"/>
  <c r="F48" i="13" s="1"/>
  <c r="H48" i="13" s="1"/>
  <c r="E45" i="13"/>
  <c r="F45" i="13" s="1"/>
  <c r="H45" i="13" s="1"/>
  <c r="E42" i="13"/>
  <c r="F42" i="13" s="1"/>
  <c r="H42" i="13" s="1"/>
  <c r="E39" i="13"/>
  <c r="F39" i="13" s="1"/>
  <c r="H39" i="13" s="1"/>
  <c r="E36" i="13"/>
  <c r="F36" i="13" s="1"/>
  <c r="H36" i="13" s="1"/>
  <c r="E33" i="13"/>
  <c r="F33" i="13" s="1"/>
  <c r="E30" i="13"/>
  <c r="F30" i="13" s="1"/>
  <c r="H30" i="13" s="1"/>
  <c r="I30" i="13" s="1"/>
  <c r="E27" i="13"/>
  <c r="F27" i="13" s="1"/>
  <c r="H27" i="13" s="1"/>
  <c r="I27" i="13" s="1"/>
  <c r="E25" i="13"/>
  <c r="F25" i="13" s="1"/>
  <c r="H25" i="13" s="1"/>
  <c r="I25" i="13" s="1"/>
  <c r="E21" i="13"/>
  <c r="F21" i="13" s="1"/>
  <c r="H21" i="13" s="1"/>
  <c r="I21" i="13" s="1"/>
  <c r="E18" i="13"/>
  <c r="F18" i="13" s="1"/>
  <c r="H18" i="13" s="1"/>
  <c r="I18" i="13" s="1"/>
  <c r="E15" i="13"/>
  <c r="F15" i="13" s="1"/>
  <c r="H15" i="13" s="1"/>
  <c r="I15" i="13" s="1"/>
  <c r="E12" i="13"/>
  <c r="F12" i="13" s="1"/>
  <c r="E9" i="13"/>
  <c r="F9" i="13" s="1"/>
  <c r="H9" i="13" s="1"/>
  <c r="I9" i="13" s="1"/>
  <c r="E7" i="13"/>
  <c r="F7" i="13" s="1"/>
  <c r="H7" i="13" s="1"/>
  <c r="N27" i="12"/>
  <c r="N25" i="12"/>
  <c r="N23" i="12"/>
  <c r="N21" i="12"/>
  <c r="L27" i="12"/>
  <c r="L25" i="12"/>
  <c r="L23" i="12"/>
  <c r="L21" i="12"/>
  <c r="K21" i="12"/>
  <c r="K27" i="12"/>
  <c r="K25" i="12"/>
  <c r="K23" i="12"/>
  <c r="Y59" i="11"/>
  <c r="W59" i="11"/>
  <c r="U59" i="11"/>
  <c r="T59" i="11"/>
  <c r="S59" i="11"/>
  <c r="R59" i="11"/>
  <c r="P59" i="11"/>
  <c r="O59" i="11"/>
  <c r="N59" i="11"/>
  <c r="M59" i="11"/>
  <c r="L59" i="11"/>
  <c r="K59" i="11"/>
  <c r="J59" i="11"/>
  <c r="I59" i="11"/>
  <c r="G59" i="11"/>
  <c r="F59" i="11"/>
  <c r="E59" i="11"/>
  <c r="Y58" i="11"/>
  <c r="W58" i="11"/>
  <c r="U58" i="11"/>
  <c r="T58" i="11"/>
  <c r="S58" i="11"/>
  <c r="R58" i="11"/>
  <c r="P58" i="11"/>
  <c r="O58" i="11"/>
  <c r="N58" i="11"/>
  <c r="M58" i="11"/>
  <c r="L58" i="11"/>
  <c r="K58" i="11"/>
  <c r="J58" i="11"/>
  <c r="I58" i="11"/>
  <c r="G58" i="11"/>
  <c r="F58" i="11"/>
  <c r="E58" i="11"/>
  <c r="X57" i="11"/>
  <c r="V57" i="11"/>
  <c r="Q57" i="11"/>
  <c r="H57" i="11"/>
  <c r="D57" i="11"/>
  <c r="X56" i="11"/>
  <c r="V56" i="11"/>
  <c r="Q56" i="11"/>
  <c r="H56" i="11"/>
  <c r="D56" i="11"/>
  <c r="X55" i="11"/>
  <c r="V55" i="11"/>
  <c r="Q55" i="11"/>
  <c r="H55" i="11"/>
  <c r="D55" i="11"/>
  <c r="X54" i="11"/>
  <c r="V54" i="11"/>
  <c r="Q54" i="11"/>
  <c r="H54" i="11"/>
  <c r="D54" i="11"/>
  <c r="X53" i="11"/>
  <c r="V53" i="11"/>
  <c r="Q53" i="11"/>
  <c r="H53" i="11"/>
  <c r="D53" i="11"/>
  <c r="X52" i="11"/>
  <c r="X58" i="11" s="1"/>
  <c r="V52" i="11"/>
  <c r="Q52" i="11"/>
  <c r="H52" i="11"/>
  <c r="D52" i="11"/>
  <c r="X51" i="11"/>
  <c r="V51" i="11"/>
  <c r="Q51" i="11"/>
  <c r="Q59" i="11" s="1"/>
  <c r="H51" i="11"/>
  <c r="D51" i="11"/>
  <c r="X50" i="11"/>
  <c r="V50" i="11"/>
  <c r="Q50" i="11"/>
  <c r="H50" i="11"/>
  <c r="D50" i="11"/>
  <c r="X49" i="11"/>
  <c r="V49" i="11"/>
  <c r="V58" i="11"/>
  <c r="Q49" i="11"/>
  <c r="H49" i="11"/>
  <c r="H59" i="11"/>
  <c r="D49" i="11"/>
  <c r="D58" i="11" s="1"/>
  <c r="X44" i="11"/>
  <c r="W44" i="11"/>
  <c r="U44" i="11"/>
  <c r="T44" i="11"/>
  <c r="R44" i="11"/>
  <c r="P44" i="11"/>
  <c r="N44" i="11"/>
  <c r="M44" i="11"/>
  <c r="K44" i="11"/>
  <c r="I44" i="11"/>
  <c r="G44" i="11"/>
  <c r="F44" i="11"/>
  <c r="X43" i="11"/>
  <c r="W43" i="11"/>
  <c r="U43" i="11"/>
  <c r="T43" i="11"/>
  <c r="R43" i="11"/>
  <c r="P43" i="11"/>
  <c r="N43" i="11"/>
  <c r="M43" i="11"/>
  <c r="K43" i="11"/>
  <c r="I43" i="11"/>
  <c r="G43" i="11"/>
  <c r="F43" i="11"/>
  <c r="Y42" i="11"/>
  <c r="V42" i="11"/>
  <c r="S42" i="11"/>
  <c r="Q42" i="11"/>
  <c r="O42" i="11"/>
  <c r="L42" i="11"/>
  <c r="J42" i="11"/>
  <c r="H42" i="11"/>
  <c r="E42" i="11"/>
  <c r="D42" i="11"/>
  <c r="Y41" i="11"/>
  <c r="V41" i="11"/>
  <c r="S41" i="11"/>
  <c r="Q41" i="11"/>
  <c r="O41" i="11"/>
  <c r="L41" i="11"/>
  <c r="J41" i="11"/>
  <c r="H41" i="11"/>
  <c r="E41" i="11"/>
  <c r="D41" i="11"/>
  <c r="Y40" i="11"/>
  <c r="V40" i="11"/>
  <c r="S40" i="11"/>
  <c r="Q40" i="11"/>
  <c r="O40" i="11"/>
  <c r="L40" i="11"/>
  <c r="J40" i="11"/>
  <c r="H40" i="11"/>
  <c r="E40" i="11"/>
  <c r="D40" i="11"/>
  <c r="Y39" i="11"/>
  <c r="V39" i="11"/>
  <c r="S39" i="11"/>
  <c r="Q39" i="11"/>
  <c r="O39" i="11"/>
  <c r="L39" i="11"/>
  <c r="J39" i="11"/>
  <c r="H39" i="11"/>
  <c r="E39" i="11"/>
  <c r="D39" i="11"/>
  <c r="Y38" i="11"/>
  <c r="V38" i="11"/>
  <c r="S38" i="11"/>
  <c r="Q38" i="11"/>
  <c r="O38" i="11"/>
  <c r="L38" i="11"/>
  <c r="J38" i="11"/>
  <c r="H38" i="11"/>
  <c r="E38" i="11"/>
  <c r="D38" i="11"/>
  <c r="Y37" i="11"/>
  <c r="V37" i="11"/>
  <c r="S37" i="11"/>
  <c r="Q37" i="11"/>
  <c r="O37" i="11"/>
  <c r="L37" i="11"/>
  <c r="J37" i="11"/>
  <c r="H37" i="11"/>
  <c r="E37" i="11"/>
  <c r="D37" i="11"/>
  <c r="Y36" i="11"/>
  <c r="V36" i="11"/>
  <c r="S36" i="11"/>
  <c r="Q36" i="11"/>
  <c r="O36" i="11"/>
  <c r="L36" i="11"/>
  <c r="J36" i="11"/>
  <c r="H36" i="11"/>
  <c r="E36" i="11"/>
  <c r="D36" i="11"/>
  <c r="Y35" i="11"/>
  <c r="V35" i="11"/>
  <c r="S35" i="11"/>
  <c r="Q35" i="11"/>
  <c r="O35" i="11"/>
  <c r="L35" i="11"/>
  <c r="J35" i="11"/>
  <c r="H35" i="11"/>
  <c r="H44" i="11" s="1"/>
  <c r="E35" i="11"/>
  <c r="D35" i="11"/>
  <c r="D43" i="11" s="1"/>
  <c r="Y34" i="11"/>
  <c r="Y44" i="11" s="1"/>
  <c r="V34" i="11"/>
  <c r="V44" i="11"/>
  <c r="S34" i="11"/>
  <c r="S43" i="11" s="1"/>
  <c r="Q34" i="11"/>
  <c r="Q43" i="11"/>
  <c r="O34" i="11"/>
  <c r="O44" i="11" s="1"/>
  <c r="L34" i="11"/>
  <c r="L44" i="11"/>
  <c r="J34" i="11"/>
  <c r="J44" i="11" s="1"/>
  <c r="H34" i="11"/>
  <c r="H43" i="11" s="1"/>
  <c r="E34" i="11"/>
  <c r="E43" i="11" s="1"/>
  <c r="D34" i="11"/>
  <c r="D44" i="11" s="1"/>
  <c r="X29" i="11"/>
  <c r="W29" i="11"/>
  <c r="U29" i="11"/>
  <c r="T29" i="11"/>
  <c r="R29" i="11"/>
  <c r="P29" i="11"/>
  <c r="N29" i="11"/>
  <c r="M29" i="11"/>
  <c r="K29" i="11"/>
  <c r="I29" i="11"/>
  <c r="G29" i="11"/>
  <c r="F29" i="11"/>
  <c r="X28" i="11"/>
  <c r="W28" i="11"/>
  <c r="U28" i="11"/>
  <c r="T28" i="11"/>
  <c r="R28" i="11"/>
  <c r="P28" i="11"/>
  <c r="N28" i="11"/>
  <c r="M28" i="11"/>
  <c r="K28" i="11"/>
  <c r="I28" i="11"/>
  <c r="G28" i="11"/>
  <c r="F28" i="11"/>
  <c r="Y27" i="11"/>
  <c r="V27" i="11"/>
  <c r="S27" i="11"/>
  <c r="Q27" i="11"/>
  <c r="O27" i="11"/>
  <c r="L27" i="11"/>
  <c r="J27" i="11"/>
  <c r="H27" i="11"/>
  <c r="E27" i="11"/>
  <c r="D27" i="11"/>
  <c r="Y26" i="11"/>
  <c r="V26" i="11"/>
  <c r="S26" i="11"/>
  <c r="Q26" i="11"/>
  <c r="O26" i="11"/>
  <c r="L26" i="11"/>
  <c r="J26" i="11"/>
  <c r="H26" i="11"/>
  <c r="E26" i="11"/>
  <c r="D26" i="11"/>
  <c r="Y25" i="11"/>
  <c r="V25" i="11"/>
  <c r="S25" i="11"/>
  <c r="Q25" i="11"/>
  <c r="O25" i="11"/>
  <c r="L25" i="11"/>
  <c r="J25" i="11"/>
  <c r="J28" i="11" s="1"/>
  <c r="H25" i="11"/>
  <c r="E25" i="11"/>
  <c r="D25" i="11"/>
  <c r="Y24" i="11"/>
  <c r="V24" i="11"/>
  <c r="S24" i="11"/>
  <c r="Q24" i="11"/>
  <c r="O24" i="11"/>
  <c r="L24" i="11"/>
  <c r="J24" i="11"/>
  <c r="H24" i="11"/>
  <c r="E24" i="11"/>
  <c r="D24" i="11"/>
  <c r="Y23" i="11"/>
  <c r="V23" i="11"/>
  <c r="S23" i="11"/>
  <c r="Q23" i="11"/>
  <c r="O23" i="11"/>
  <c r="L23" i="11"/>
  <c r="J23" i="11"/>
  <c r="H23" i="11"/>
  <c r="E23" i="11"/>
  <c r="D23" i="11"/>
  <c r="Y22" i="11"/>
  <c r="V22" i="11"/>
  <c r="S22" i="11"/>
  <c r="Q22" i="11"/>
  <c r="O22" i="11"/>
  <c r="L22" i="11"/>
  <c r="J22" i="11"/>
  <c r="H22" i="11"/>
  <c r="E22" i="11"/>
  <c r="D22" i="11"/>
  <c r="Y21" i="11"/>
  <c r="V21" i="11"/>
  <c r="S21" i="11"/>
  <c r="Q21" i="11"/>
  <c r="O21" i="11"/>
  <c r="L21" i="11"/>
  <c r="L28" i="11" s="1"/>
  <c r="L29" i="11"/>
  <c r="J21" i="11"/>
  <c r="H21" i="11"/>
  <c r="E21" i="11"/>
  <c r="D21" i="11"/>
  <c r="Y20" i="11"/>
  <c r="V20" i="11"/>
  <c r="V29" i="11" s="1"/>
  <c r="S20" i="11"/>
  <c r="S29" i="11" s="1"/>
  <c r="Q20" i="11"/>
  <c r="O20" i="11"/>
  <c r="L20" i="11"/>
  <c r="J20" i="11"/>
  <c r="H20" i="11"/>
  <c r="E20" i="11"/>
  <c r="D20" i="11"/>
  <c r="D28" i="11" s="1"/>
  <c r="Y19" i="11"/>
  <c r="Y28" i="11" s="1"/>
  <c r="V19" i="11"/>
  <c r="S19" i="11"/>
  <c r="S28" i="11" s="1"/>
  <c r="Q19" i="11"/>
  <c r="Q28" i="11"/>
  <c r="O19" i="11"/>
  <c r="O29" i="11" s="1"/>
  <c r="L19" i="11"/>
  <c r="J19" i="11"/>
  <c r="J29" i="11" s="1"/>
  <c r="H19" i="11"/>
  <c r="H28" i="11"/>
  <c r="E19" i="11"/>
  <c r="E28" i="11" s="1"/>
  <c r="D19" i="11"/>
  <c r="X14" i="11"/>
  <c r="W14" i="11"/>
  <c r="U14" i="11"/>
  <c r="T14" i="11"/>
  <c r="R14" i="11"/>
  <c r="P14" i="11"/>
  <c r="N14" i="11"/>
  <c r="M14" i="11"/>
  <c r="K14" i="11"/>
  <c r="I14" i="11"/>
  <c r="G14" i="11"/>
  <c r="F14" i="11"/>
  <c r="X13" i="11"/>
  <c r="W13" i="11"/>
  <c r="U13" i="11"/>
  <c r="T13" i="11"/>
  <c r="R13" i="11"/>
  <c r="P13" i="11"/>
  <c r="N13" i="11"/>
  <c r="M13" i="11"/>
  <c r="K13" i="11"/>
  <c r="I13" i="11"/>
  <c r="G13" i="11"/>
  <c r="F13" i="11"/>
  <c r="Y12" i="11"/>
  <c r="V12" i="11"/>
  <c r="S12" i="11"/>
  <c r="Q12" i="11"/>
  <c r="O12" i="11"/>
  <c r="L12" i="11"/>
  <c r="J12" i="11"/>
  <c r="H12" i="11"/>
  <c r="E12" i="11"/>
  <c r="D12" i="11"/>
  <c r="Y11" i="11"/>
  <c r="V11" i="11"/>
  <c r="S11" i="11"/>
  <c r="Q11" i="11"/>
  <c r="O11" i="11"/>
  <c r="L11" i="11"/>
  <c r="J11" i="11"/>
  <c r="H11" i="11"/>
  <c r="E11" i="11"/>
  <c r="D11" i="11"/>
  <c r="Y10" i="11"/>
  <c r="Y13" i="11" s="1"/>
  <c r="V10" i="11"/>
  <c r="S10" i="11"/>
  <c r="Q10" i="11"/>
  <c r="O10" i="11"/>
  <c r="L10" i="11"/>
  <c r="J10" i="11"/>
  <c r="H10" i="11"/>
  <c r="E10" i="11"/>
  <c r="E14" i="11" s="1"/>
  <c r="D10" i="11"/>
  <c r="Y9" i="11"/>
  <c r="V9" i="11"/>
  <c r="S9" i="11"/>
  <c r="Q9" i="11"/>
  <c r="O9" i="11"/>
  <c r="L9" i="11"/>
  <c r="J9" i="11"/>
  <c r="H9" i="11"/>
  <c r="E9" i="11"/>
  <c r="D9" i="11"/>
  <c r="Y8" i="11"/>
  <c r="V8" i="11"/>
  <c r="S8" i="11"/>
  <c r="Q8" i="11"/>
  <c r="O8" i="11"/>
  <c r="L8" i="11"/>
  <c r="J8" i="11"/>
  <c r="H8" i="11"/>
  <c r="E8" i="11"/>
  <c r="D8" i="11"/>
  <c r="Y7" i="11"/>
  <c r="V7" i="11"/>
  <c r="S7" i="11"/>
  <c r="S13" i="11" s="1"/>
  <c r="Q7" i="11"/>
  <c r="O7" i="11"/>
  <c r="L7" i="11"/>
  <c r="J7" i="11"/>
  <c r="H7" i="11"/>
  <c r="E7" i="11"/>
  <c r="D7" i="11"/>
  <c r="D13" i="11" s="1"/>
  <c r="Y6" i="11"/>
  <c r="V6" i="11"/>
  <c r="S6" i="11"/>
  <c r="Q6" i="11"/>
  <c r="O6" i="11"/>
  <c r="L6" i="11"/>
  <c r="J6" i="11"/>
  <c r="H6" i="11"/>
  <c r="H13" i="11" s="1"/>
  <c r="E6" i="11"/>
  <c r="D6" i="11"/>
  <c r="Y5" i="11"/>
  <c r="V5" i="11"/>
  <c r="S5" i="11"/>
  <c r="Q5" i="11"/>
  <c r="O5" i="11"/>
  <c r="O14" i="11" s="1"/>
  <c r="L5" i="11"/>
  <c r="J5" i="11"/>
  <c r="H5" i="11"/>
  <c r="E5" i="11"/>
  <c r="D5" i="11"/>
  <c r="Y4" i="11"/>
  <c r="Y14" i="11"/>
  <c r="V4" i="11"/>
  <c r="V13" i="11" s="1"/>
  <c r="S4" i="11"/>
  <c r="Q4" i="11"/>
  <c r="Q14" i="11" s="1"/>
  <c r="O4" i="11"/>
  <c r="L4" i="11"/>
  <c r="L13" i="11" s="1"/>
  <c r="J4" i="11"/>
  <c r="J14" i="11" s="1"/>
  <c r="H4" i="11"/>
  <c r="H14" i="11" s="1"/>
  <c r="E4" i="11"/>
  <c r="E13" i="11" s="1"/>
  <c r="D4" i="11"/>
  <c r="E44" i="11"/>
  <c r="Y29" i="11"/>
  <c r="Q29" i="11"/>
  <c r="O43" i="11"/>
  <c r="X59" i="11"/>
  <c r="L14" i="11"/>
  <c r="E90" i="12"/>
  <c r="F90" i="12"/>
  <c r="H90" i="12"/>
  <c r="E87" i="12"/>
  <c r="F87" i="12"/>
  <c r="H87" i="12"/>
  <c r="E84" i="12"/>
  <c r="F84" i="12"/>
  <c r="H84" i="12"/>
  <c r="E81" i="12"/>
  <c r="F81" i="12"/>
  <c r="E78" i="12"/>
  <c r="F78" i="12"/>
  <c r="H78" i="12"/>
  <c r="E75" i="12"/>
  <c r="F75" i="12"/>
  <c r="H75" i="12"/>
  <c r="E72" i="12"/>
  <c r="F72" i="12"/>
  <c r="E69" i="12"/>
  <c r="F69" i="12"/>
  <c r="H69" i="12"/>
  <c r="E66" i="12"/>
  <c r="F66" i="12"/>
  <c r="H66" i="12"/>
  <c r="E63" i="12"/>
  <c r="F63" i="12"/>
  <c r="H63" i="12"/>
  <c r="E60" i="12"/>
  <c r="F60" i="12"/>
  <c r="H60" i="12"/>
  <c r="E57" i="12"/>
  <c r="F57" i="12"/>
  <c r="H57" i="12"/>
  <c r="E54" i="12"/>
  <c r="F54" i="12"/>
  <c r="H54" i="12"/>
  <c r="E51" i="12"/>
  <c r="F51" i="12"/>
  <c r="E48" i="12"/>
  <c r="F48" i="12"/>
  <c r="H48" i="12"/>
  <c r="E45" i="12"/>
  <c r="F45" i="12"/>
  <c r="H45" i="12"/>
  <c r="E42" i="12"/>
  <c r="F42" i="12"/>
  <c r="H42" i="12"/>
  <c r="E39" i="12"/>
  <c r="F39" i="12"/>
  <c r="H39" i="12"/>
  <c r="E36" i="12"/>
  <c r="F36" i="12"/>
  <c r="H36" i="12"/>
  <c r="E33" i="12"/>
  <c r="F33" i="12"/>
  <c r="H33" i="12"/>
  <c r="E30" i="12"/>
  <c r="F30" i="12"/>
  <c r="E27" i="12"/>
  <c r="F27" i="12"/>
  <c r="H27" i="12"/>
  <c r="E25" i="12"/>
  <c r="F25" i="12"/>
  <c r="H25" i="12"/>
  <c r="E21" i="12"/>
  <c r="F21" i="12"/>
  <c r="H21" i="12"/>
  <c r="E18" i="12"/>
  <c r="F18" i="12"/>
  <c r="H18" i="12"/>
  <c r="E15" i="12"/>
  <c r="F15" i="12"/>
  <c r="H15" i="12"/>
  <c r="F12" i="12"/>
  <c r="H12" i="12"/>
  <c r="E12" i="12"/>
  <c r="E9" i="12"/>
  <c r="F9" i="12"/>
  <c r="H9" i="12"/>
  <c r="E7" i="12"/>
  <c r="F7" i="12"/>
  <c r="H30" i="12"/>
  <c r="H72" i="12"/>
  <c r="E54" i="10"/>
  <c r="E53" i="10"/>
  <c r="E52" i="10"/>
  <c r="E51" i="10"/>
  <c r="E50" i="10"/>
  <c r="E49" i="10"/>
  <c r="E48" i="10"/>
  <c r="E47" i="10"/>
  <c r="E41" i="10"/>
  <c r="E40" i="10"/>
  <c r="E39" i="10"/>
  <c r="E38" i="10"/>
  <c r="E37" i="10"/>
  <c r="E36" i="10"/>
  <c r="E35" i="10"/>
  <c r="E34" i="10"/>
  <c r="E30" i="10"/>
  <c r="E29" i="10"/>
  <c r="E28" i="10"/>
  <c r="E27" i="10"/>
  <c r="E26" i="10"/>
  <c r="E15" i="10"/>
  <c r="E16" i="10"/>
  <c r="E17" i="10"/>
  <c r="E18" i="10"/>
  <c r="E19" i="10"/>
  <c r="E20" i="10"/>
  <c r="E14" i="10"/>
  <c r="E4" i="10"/>
  <c r="E5" i="10"/>
  <c r="E6" i="10"/>
  <c r="E7" i="10"/>
  <c r="E8" i="10"/>
  <c r="E9" i="10"/>
  <c r="E10" i="10"/>
  <c r="E3" i="10"/>
  <c r="G73" i="9"/>
  <c r="F73" i="9"/>
  <c r="G55" i="9"/>
  <c r="E135" i="8"/>
  <c r="F135" i="8"/>
  <c r="H135" i="8"/>
  <c r="E133" i="8"/>
  <c r="F133" i="8"/>
  <c r="H133" i="8"/>
  <c r="F129" i="8"/>
  <c r="H129" i="8"/>
  <c r="E129" i="8"/>
  <c r="E126" i="8"/>
  <c r="F126" i="8"/>
  <c r="H126" i="8"/>
  <c r="E123" i="8"/>
  <c r="F123" i="8"/>
  <c r="H121" i="8"/>
  <c r="F121" i="8"/>
  <c r="E121" i="8"/>
  <c r="F117" i="8"/>
  <c r="H117" i="8"/>
  <c r="E117" i="8"/>
  <c r="E114" i="8"/>
  <c r="F114" i="8"/>
  <c r="H114" i="8"/>
  <c r="E111" i="8"/>
  <c r="F111" i="8"/>
  <c r="H111" i="8"/>
  <c r="F108" i="8"/>
  <c r="H108" i="8"/>
  <c r="E108" i="8"/>
  <c r="F106" i="8"/>
  <c r="H106" i="8"/>
  <c r="E106" i="8"/>
  <c r="E102" i="8"/>
  <c r="F102" i="8"/>
  <c r="H102" i="8"/>
  <c r="E99" i="8"/>
  <c r="F99" i="8"/>
  <c r="H99" i="8"/>
  <c r="H96" i="8"/>
  <c r="F96" i="8"/>
  <c r="E96" i="8"/>
  <c r="E93" i="8"/>
  <c r="F93" i="8"/>
  <c r="H93" i="8"/>
  <c r="E91" i="8"/>
  <c r="F91" i="8"/>
  <c r="E87" i="8"/>
  <c r="F87" i="8"/>
  <c r="H87" i="8"/>
  <c r="F84" i="8"/>
  <c r="H84" i="8"/>
  <c r="E84" i="8"/>
  <c r="F81" i="8"/>
  <c r="H81" i="8"/>
  <c r="E81" i="8"/>
  <c r="E78" i="8"/>
  <c r="F78" i="8"/>
  <c r="H78" i="8"/>
  <c r="E75" i="8"/>
  <c r="F75" i="8"/>
  <c r="H75" i="8"/>
  <c r="H72" i="8"/>
  <c r="F72" i="8"/>
  <c r="E72" i="8"/>
  <c r="E69" i="8"/>
  <c r="F69" i="8"/>
  <c r="H69" i="8"/>
  <c r="E66" i="8"/>
  <c r="F66" i="8"/>
  <c r="H66" i="8"/>
  <c r="E63" i="8"/>
  <c r="F63" i="8"/>
  <c r="F60" i="8"/>
  <c r="H60" i="8"/>
  <c r="E60" i="8"/>
  <c r="F57" i="8"/>
  <c r="H57" i="8"/>
  <c r="E57" i="8"/>
  <c r="E54" i="8"/>
  <c r="F54" i="8"/>
  <c r="H54" i="8"/>
  <c r="E51" i="8"/>
  <c r="F51" i="8"/>
  <c r="H51" i="8"/>
  <c r="H48" i="8"/>
  <c r="F48" i="8"/>
  <c r="E48" i="8"/>
  <c r="E45" i="8"/>
  <c r="F45" i="8"/>
  <c r="H45" i="8"/>
  <c r="E42" i="8"/>
  <c r="F42" i="8"/>
  <c r="H42" i="8"/>
  <c r="E39" i="8"/>
  <c r="F39" i="8"/>
  <c r="F36" i="8"/>
  <c r="E36" i="8"/>
  <c r="F33" i="8"/>
  <c r="H33" i="8"/>
  <c r="E33" i="8"/>
  <c r="E30" i="8"/>
  <c r="F30" i="8"/>
  <c r="H30" i="8"/>
  <c r="E27" i="8"/>
  <c r="F27" i="8"/>
  <c r="H27" i="8"/>
  <c r="F24" i="8"/>
  <c r="H24" i="8"/>
  <c r="E24" i="8"/>
  <c r="F21" i="8"/>
  <c r="H21" i="8"/>
  <c r="E21" i="8"/>
  <c r="E18" i="8"/>
  <c r="F18" i="8"/>
  <c r="H18" i="8"/>
  <c r="E15" i="8"/>
  <c r="F15" i="8"/>
  <c r="H15" i="8"/>
  <c r="H12" i="8"/>
  <c r="F12" i="8"/>
  <c r="E12" i="8"/>
  <c r="E9" i="8"/>
  <c r="F9" i="8"/>
  <c r="H9" i="8"/>
  <c r="E7" i="8"/>
  <c r="F7" i="8"/>
  <c r="D18" i="7"/>
  <c r="D16" i="7"/>
  <c r="D14" i="7"/>
  <c r="D12" i="7"/>
  <c r="D10" i="7"/>
  <c r="D8" i="7"/>
  <c r="D6" i="7"/>
  <c r="E162" i="6"/>
  <c r="F162" i="6"/>
  <c r="H162" i="6"/>
  <c r="E159" i="6"/>
  <c r="F159" i="6"/>
  <c r="H159" i="6"/>
  <c r="E156" i="6"/>
  <c r="F156" i="6"/>
  <c r="H156" i="6"/>
  <c r="E153" i="6"/>
  <c r="F153" i="6"/>
  <c r="H153" i="6"/>
  <c r="E150" i="6"/>
  <c r="F150" i="6"/>
  <c r="H150" i="6"/>
  <c r="E147" i="6"/>
  <c r="F147" i="6"/>
  <c r="H147" i="6"/>
  <c r="E144" i="6"/>
  <c r="F144" i="6"/>
  <c r="H144" i="6"/>
  <c r="E141" i="6"/>
  <c r="F141" i="6"/>
  <c r="H141" i="6"/>
  <c r="E138" i="6"/>
  <c r="F138" i="6"/>
  <c r="H138" i="6"/>
  <c r="E135" i="6"/>
  <c r="F135" i="6"/>
  <c r="H135" i="6"/>
  <c r="E132" i="6"/>
  <c r="F132" i="6"/>
  <c r="H132" i="6"/>
  <c r="E129" i="6"/>
  <c r="F129" i="6"/>
  <c r="H129" i="6"/>
  <c r="E126" i="6"/>
  <c r="F126" i="6"/>
  <c r="H126" i="6"/>
  <c r="E123" i="6"/>
  <c r="F123" i="6"/>
  <c r="H123" i="6"/>
  <c r="E120" i="6"/>
  <c r="F120" i="6"/>
  <c r="H120" i="6"/>
  <c r="E117" i="6"/>
  <c r="F117" i="6"/>
  <c r="H117" i="6"/>
  <c r="E114" i="6"/>
  <c r="F114" i="6"/>
  <c r="H114" i="6"/>
  <c r="E111" i="6"/>
  <c r="F111" i="6"/>
  <c r="H111" i="6"/>
  <c r="E108" i="6"/>
  <c r="F108" i="6"/>
  <c r="H108" i="6"/>
  <c r="E105" i="6"/>
  <c r="F105" i="6"/>
  <c r="H105" i="6"/>
  <c r="E102" i="6"/>
  <c r="F102" i="6"/>
  <c r="H102" i="6"/>
  <c r="E99" i="6"/>
  <c r="F99" i="6"/>
  <c r="H99" i="6"/>
  <c r="E96" i="6"/>
  <c r="F96" i="6"/>
  <c r="H96" i="6"/>
  <c r="E93" i="6"/>
  <c r="F93" i="6"/>
  <c r="H93" i="6"/>
  <c r="E90" i="6"/>
  <c r="F90" i="6"/>
  <c r="H90" i="6"/>
  <c r="E87" i="6"/>
  <c r="F87" i="6"/>
  <c r="H87" i="6"/>
  <c r="E84" i="6"/>
  <c r="F84" i="6"/>
  <c r="H84" i="6"/>
  <c r="E81" i="6"/>
  <c r="F81" i="6"/>
  <c r="H81" i="6"/>
  <c r="E78" i="6"/>
  <c r="F78" i="6"/>
  <c r="H78" i="6"/>
  <c r="E75" i="6"/>
  <c r="F75" i="6"/>
  <c r="H75" i="6"/>
  <c r="E72" i="6"/>
  <c r="F72" i="6"/>
  <c r="H72" i="6"/>
  <c r="E69" i="6"/>
  <c r="F69" i="6"/>
  <c r="H69" i="6"/>
  <c r="E66" i="6"/>
  <c r="F66" i="6"/>
  <c r="H66" i="6"/>
  <c r="E63" i="6"/>
  <c r="F63" i="6"/>
  <c r="H63" i="6"/>
  <c r="E60" i="6"/>
  <c r="F60" i="6"/>
  <c r="H60" i="6"/>
  <c r="E57" i="6"/>
  <c r="F57" i="6"/>
  <c r="H57" i="6"/>
  <c r="E54" i="6"/>
  <c r="F54" i="6"/>
  <c r="H54" i="6"/>
  <c r="E51" i="6"/>
  <c r="F51" i="6"/>
  <c r="H51" i="6"/>
  <c r="E48" i="6"/>
  <c r="F48" i="6"/>
  <c r="H48" i="6"/>
  <c r="E45" i="6"/>
  <c r="F45" i="6"/>
  <c r="H45" i="6"/>
  <c r="E42" i="6"/>
  <c r="F42" i="6"/>
  <c r="H42" i="6"/>
  <c r="E39" i="6"/>
  <c r="F39" i="6"/>
  <c r="H39" i="6"/>
  <c r="E36" i="6"/>
  <c r="F36" i="6"/>
  <c r="H36" i="6"/>
  <c r="E33" i="6"/>
  <c r="F33" i="6"/>
  <c r="H33" i="6"/>
  <c r="E31" i="6"/>
  <c r="F31" i="6"/>
  <c r="H31" i="6"/>
  <c r="E28" i="6"/>
  <c r="F28" i="6"/>
  <c r="H28" i="6"/>
  <c r="E25" i="6"/>
  <c r="F25" i="6"/>
  <c r="H25" i="6"/>
  <c r="E22" i="6"/>
  <c r="F22" i="6"/>
  <c r="H22" i="6"/>
  <c r="E19" i="6"/>
  <c r="F19" i="6"/>
  <c r="H19" i="6"/>
  <c r="E16" i="6"/>
  <c r="F16" i="6"/>
  <c r="H16" i="6"/>
  <c r="E13" i="6"/>
  <c r="F13" i="6"/>
  <c r="H13" i="6"/>
  <c r="E10" i="6"/>
  <c r="F10" i="6"/>
  <c r="H10" i="6"/>
  <c r="E7" i="6"/>
  <c r="F7" i="6"/>
  <c r="H7" i="6"/>
  <c r="V59" i="5"/>
  <c r="U59" i="5"/>
  <c r="T59" i="5"/>
  <c r="S59" i="5"/>
  <c r="M59" i="5"/>
  <c r="G59" i="5"/>
  <c r="V58" i="5"/>
  <c r="U58" i="5"/>
  <c r="T58" i="5"/>
  <c r="S58" i="5"/>
  <c r="M58" i="5"/>
  <c r="G58" i="5"/>
  <c r="Y57" i="5"/>
  <c r="X57" i="5"/>
  <c r="W57" i="5"/>
  <c r="R57" i="5"/>
  <c r="Q57" i="5"/>
  <c r="P57" i="5"/>
  <c r="O57" i="5"/>
  <c r="N57" i="5"/>
  <c r="L57" i="5"/>
  <c r="K57" i="5"/>
  <c r="J57" i="5"/>
  <c r="I57" i="5"/>
  <c r="H57" i="5"/>
  <c r="F57" i="5"/>
  <c r="E57" i="5"/>
  <c r="D57" i="5"/>
  <c r="Y56" i="5"/>
  <c r="X56" i="5"/>
  <c r="W56" i="5"/>
  <c r="R56" i="5"/>
  <c r="Q56" i="5"/>
  <c r="P56" i="5"/>
  <c r="O56" i="5"/>
  <c r="N56" i="5"/>
  <c r="L56" i="5"/>
  <c r="K56" i="5"/>
  <c r="J56" i="5"/>
  <c r="I56" i="5"/>
  <c r="H56" i="5"/>
  <c r="F56" i="5"/>
  <c r="E56" i="5"/>
  <c r="D56" i="5"/>
  <c r="Y55" i="5"/>
  <c r="X55" i="5"/>
  <c r="W55" i="5"/>
  <c r="R55" i="5"/>
  <c r="Q55" i="5"/>
  <c r="P55" i="5"/>
  <c r="P58" i="5" s="1"/>
  <c r="O55" i="5"/>
  <c r="O58" i="5" s="1"/>
  <c r="N55" i="5"/>
  <c r="L55" i="5"/>
  <c r="K55" i="5"/>
  <c r="J55" i="5"/>
  <c r="I55" i="5"/>
  <c r="H55" i="5"/>
  <c r="F55" i="5"/>
  <c r="E55" i="5"/>
  <c r="D55" i="5"/>
  <c r="Y54" i="5"/>
  <c r="X54" i="5"/>
  <c r="W54" i="5"/>
  <c r="R54" i="5"/>
  <c r="Q54" i="5"/>
  <c r="P54" i="5"/>
  <c r="O54" i="5"/>
  <c r="N54" i="5"/>
  <c r="L54" i="5"/>
  <c r="K54" i="5"/>
  <c r="J54" i="5"/>
  <c r="J59" i="5" s="1"/>
  <c r="I54" i="5"/>
  <c r="H54" i="5"/>
  <c r="F54" i="5"/>
  <c r="F59" i="5" s="1"/>
  <c r="E54" i="5"/>
  <c r="D54" i="5"/>
  <c r="Y53" i="5"/>
  <c r="X53" i="5"/>
  <c r="X58" i="5"/>
  <c r="W53" i="5"/>
  <c r="W59" i="5" s="1"/>
  <c r="R53" i="5"/>
  <c r="Q53" i="5"/>
  <c r="P53" i="5"/>
  <c r="O53" i="5"/>
  <c r="N53" i="5"/>
  <c r="L53" i="5"/>
  <c r="K53" i="5"/>
  <c r="J53" i="5"/>
  <c r="I53" i="5"/>
  <c r="H53" i="5"/>
  <c r="F53" i="5"/>
  <c r="E53" i="5"/>
  <c r="E58" i="5"/>
  <c r="D53" i="5"/>
  <c r="Y52" i="5"/>
  <c r="Y59" i="5"/>
  <c r="X52" i="5"/>
  <c r="W52" i="5"/>
  <c r="R52" i="5"/>
  <c r="R59" i="5" s="1"/>
  <c r="R58" i="5"/>
  <c r="Q52" i="5"/>
  <c r="Q59" i="5" s="1"/>
  <c r="P52" i="5"/>
  <c r="P59" i="5" s="1"/>
  <c r="O52" i="5"/>
  <c r="O59" i="5" s="1"/>
  <c r="N52" i="5"/>
  <c r="N58" i="5"/>
  <c r="L52" i="5"/>
  <c r="L58" i="5" s="1"/>
  <c r="K52" i="5"/>
  <c r="K59" i="5" s="1"/>
  <c r="J52" i="5"/>
  <c r="I52" i="5"/>
  <c r="I59" i="5" s="1"/>
  <c r="H52" i="5"/>
  <c r="H59" i="5"/>
  <c r="F52" i="5"/>
  <c r="F58" i="5" s="1"/>
  <c r="E52" i="5"/>
  <c r="E59" i="5"/>
  <c r="D52" i="5"/>
  <c r="D59" i="5" s="1"/>
  <c r="V48" i="5"/>
  <c r="U48" i="5"/>
  <c r="T48" i="5"/>
  <c r="S48" i="5"/>
  <c r="M48" i="5"/>
  <c r="G48" i="5"/>
  <c r="V47" i="5"/>
  <c r="U47" i="5"/>
  <c r="T47" i="5"/>
  <c r="S47" i="5"/>
  <c r="M47" i="5"/>
  <c r="G47" i="5"/>
  <c r="Y46" i="5"/>
  <c r="X46" i="5"/>
  <c r="W46" i="5"/>
  <c r="R46" i="5"/>
  <c r="Q46" i="5"/>
  <c r="P46" i="5"/>
  <c r="O46" i="5"/>
  <c r="N46" i="5"/>
  <c r="L46" i="5"/>
  <c r="K46" i="5"/>
  <c r="J46" i="5"/>
  <c r="I46" i="5"/>
  <c r="H46" i="5"/>
  <c r="F46" i="5"/>
  <c r="E46" i="5"/>
  <c r="D46" i="5"/>
  <c r="Y45" i="5"/>
  <c r="X45" i="5"/>
  <c r="W45" i="5"/>
  <c r="R45" i="5"/>
  <c r="Q45" i="5"/>
  <c r="P45" i="5"/>
  <c r="O45" i="5"/>
  <c r="N45" i="5"/>
  <c r="L45" i="5"/>
  <c r="K45" i="5"/>
  <c r="K47" i="5" s="1"/>
  <c r="J45" i="5"/>
  <c r="I45" i="5"/>
  <c r="H45" i="5"/>
  <c r="F45" i="5"/>
  <c r="E45" i="5"/>
  <c r="D45" i="5"/>
  <c r="Y44" i="5"/>
  <c r="X44" i="5"/>
  <c r="W44" i="5"/>
  <c r="R44" i="5"/>
  <c r="Q44" i="5"/>
  <c r="P44" i="5"/>
  <c r="O44" i="5"/>
  <c r="N44" i="5"/>
  <c r="L44" i="5"/>
  <c r="K44" i="5"/>
  <c r="J44" i="5"/>
  <c r="I44" i="5"/>
  <c r="H44" i="5"/>
  <c r="F44" i="5"/>
  <c r="E44" i="5"/>
  <c r="D44" i="5"/>
  <c r="Y43" i="5"/>
  <c r="Y48" i="5" s="1"/>
  <c r="X43" i="5"/>
  <c r="W43" i="5"/>
  <c r="R43" i="5"/>
  <c r="Q43" i="5"/>
  <c r="P43" i="5"/>
  <c r="O43" i="5"/>
  <c r="O47" i="5" s="1"/>
  <c r="N43" i="5"/>
  <c r="L43" i="5"/>
  <c r="K43" i="5"/>
  <c r="J43" i="5"/>
  <c r="I43" i="5"/>
  <c r="H43" i="5"/>
  <c r="F43" i="5"/>
  <c r="E43" i="5"/>
  <c r="D43" i="5"/>
  <c r="Y42" i="5"/>
  <c r="X42" i="5"/>
  <c r="W42" i="5"/>
  <c r="R42" i="5"/>
  <c r="Q42" i="5"/>
  <c r="P42" i="5"/>
  <c r="O42" i="5"/>
  <c r="N42" i="5"/>
  <c r="L42" i="5"/>
  <c r="K42" i="5"/>
  <c r="J42" i="5"/>
  <c r="J47" i="5" s="1"/>
  <c r="I42" i="5"/>
  <c r="H42" i="5"/>
  <c r="F42" i="5"/>
  <c r="E42" i="5"/>
  <c r="D42" i="5"/>
  <c r="Y41" i="5"/>
  <c r="X41" i="5"/>
  <c r="X47" i="5" s="1"/>
  <c r="W41" i="5"/>
  <c r="W48" i="5" s="1"/>
  <c r="R41" i="5"/>
  <c r="Q41" i="5"/>
  <c r="P41" i="5"/>
  <c r="O41" i="5"/>
  <c r="N41" i="5"/>
  <c r="L41" i="5"/>
  <c r="K41" i="5"/>
  <c r="J41" i="5"/>
  <c r="I41" i="5"/>
  <c r="H41" i="5"/>
  <c r="F41" i="5"/>
  <c r="E41" i="5"/>
  <c r="E48" i="5" s="1"/>
  <c r="D41" i="5"/>
  <c r="Y40" i="5"/>
  <c r="Y47" i="5" s="1"/>
  <c r="X40" i="5"/>
  <c r="X48" i="5" s="1"/>
  <c r="W40" i="5"/>
  <c r="R40" i="5"/>
  <c r="R48" i="5" s="1"/>
  <c r="Q40" i="5"/>
  <c r="Q48" i="5" s="1"/>
  <c r="P40" i="5"/>
  <c r="P48" i="5" s="1"/>
  <c r="O40" i="5"/>
  <c r="O48" i="5" s="1"/>
  <c r="N40" i="5"/>
  <c r="N47" i="5" s="1"/>
  <c r="N48" i="5"/>
  <c r="L40" i="5"/>
  <c r="L47" i="5" s="1"/>
  <c r="K40" i="5"/>
  <c r="J40" i="5"/>
  <c r="J48" i="5" s="1"/>
  <c r="I40" i="5"/>
  <c r="I48" i="5" s="1"/>
  <c r="H40" i="5"/>
  <c r="H48" i="5"/>
  <c r="F40" i="5"/>
  <c r="F47" i="5" s="1"/>
  <c r="E40" i="5"/>
  <c r="E47" i="5" s="1"/>
  <c r="D40" i="5"/>
  <c r="D48" i="5" s="1"/>
  <c r="V35" i="5"/>
  <c r="U35" i="5"/>
  <c r="T35" i="5"/>
  <c r="S35" i="5"/>
  <c r="M35" i="5"/>
  <c r="G35" i="5"/>
  <c r="V34" i="5"/>
  <c r="U34" i="5"/>
  <c r="T34" i="5"/>
  <c r="S34" i="5"/>
  <c r="M34" i="5"/>
  <c r="G34" i="5"/>
  <c r="Y33" i="5"/>
  <c r="X33" i="5"/>
  <c r="W33" i="5"/>
  <c r="R33" i="5"/>
  <c r="Q33" i="5"/>
  <c r="P33" i="5"/>
  <c r="O33" i="5"/>
  <c r="N33" i="5"/>
  <c r="L33" i="5"/>
  <c r="K33" i="5"/>
  <c r="J33" i="5"/>
  <c r="I33" i="5"/>
  <c r="H33" i="5"/>
  <c r="F33" i="5"/>
  <c r="E33" i="5"/>
  <c r="D33" i="5"/>
  <c r="Y32" i="5"/>
  <c r="X32" i="5"/>
  <c r="W32" i="5"/>
  <c r="R32" i="5"/>
  <c r="Q32" i="5"/>
  <c r="P32" i="5"/>
  <c r="O32" i="5"/>
  <c r="O34" i="5" s="1"/>
  <c r="N32" i="5"/>
  <c r="L32" i="5"/>
  <c r="K32" i="5"/>
  <c r="J32" i="5"/>
  <c r="I32" i="5"/>
  <c r="H32" i="5"/>
  <c r="F32" i="5"/>
  <c r="E32" i="5"/>
  <c r="D32" i="5"/>
  <c r="Y31" i="5"/>
  <c r="X31" i="5"/>
  <c r="W31" i="5"/>
  <c r="R31" i="5"/>
  <c r="Q31" i="5"/>
  <c r="P31" i="5"/>
  <c r="O31" i="5"/>
  <c r="N31" i="5"/>
  <c r="L31" i="5"/>
  <c r="K31" i="5"/>
  <c r="J31" i="5"/>
  <c r="I31" i="5"/>
  <c r="H31" i="5"/>
  <c r="H34" i="5" s="1"/>
  <c r="F31" i="5"/>
  <c r="F35" i="5" s="1"/>
  <c r="E31" i="5"/>
  <c r="D31" i="5"/>
  <c r="Y30" i="5"/>
  <c r="X30" i="5"/>
  <c r="W30" i="5"/>
  <c r="R30" i="5"/>
  <c r="Q30" i="5"/>
  <c r="P30" i="5"/>
  <c r="O30" i="5"/>
  <c r="N30" i="5"/>
  <c r="L30" i="5"/>
  <c r="K30" i="5"/>
  <c r="J30" i="5"/>
  <c r="I30" i="5"/>
  <c r="H30" i="5"/>
  <c r="H35" i="5"/>
  <c r="F30" i="5"/>
  <c r="E30" i="5"/>
  <c r="D30" i="5"/>
  <c r="Y29" i="5"/>
  <c r="X29" i="5"/>
  <c r="X35" i="5" s="1"/>
  <c r="W29" i="5"/>
  <c r="R29" i="5"/>
  <c r="Q29" i="5"/>
  <c r="P29" i="5"/>
  <c r="O29" i="5"/>
  <c r="N29" i="5"/>
  <c r="L29" i="5"/>
  <c r="K29" i="5"/>
  <c r="K35" i="5" s="1"/>
  <c r="J29" i="5"/>
  <c r="I29" i="5"/>
  <c r="H29" i="5"/>
  <c r="F29" i="5"/>
  <c r="E29" i="5"/>
  <c r="D29" i="5"/>
  <c r="Y28" i="5"/>
  <c r="Y34" i="5" s="1"/>
  <c r="X28" i="5"/>
  <c r="X34" i="5" s="1"/>
  <c r="W28" i="5"/>
  <c r="W34" i="5" s="1"/>
  <c r="W35" i="5"/>
  <c r="R28" i="5"/>
  <c r="R34" i="5" s="1"/>
  <c r="Q28" i="5"/>
  <c r="Q35" i="5" s="1"/>
  <c r="P28" i="5"/>
  <c r="P35" i="5" s="1"/>
  <c r="O28" i="5"/>
  <c r="O35" i="5"/>
  <c r="N28" i="5"/>
  <c r="N34" i="5" s="1"/>
  <c r="L28" i="5"/>
  <c r="L34" i="5" s="1"/>
  <c r="K28" i="5"/>
  <c r="J28" i="5"/>
  <c r="J34" i="5" s="1"/>
  <c r="I28" i="5"/>
  <c r="I35" i="5" s="1"/>
  <c r="I34" i="5"/>
  <c r="H28" i="5"/>
  <c r="F28" i="5"/>
  <c r="F34" i="5" s="1"/>
  <c r="E28" i="5"/>
  <c r="E35" i="5" s="1"/>
  <c r="D28" i="5"/>
  <c r="D34" i="5" s="1"/>
  <c r="D35" i="5"/>
  <c r="V23" i="5"/>
  <c r="U23" i="5"/>
  <c r="T23" i="5"/>
  <c r="S23" i="5"/>
  <c r="M23" i="5"/>
  <c r="G23" i="5"/>
  <c r="V22" i="5"/>
  <c r="U22" i="5"/>
  <c r="T22" i="5"/>
  <c r="S22" i="5"/>
  <c r="M22" i="5"/>
  <c r="G22" i="5"/>
  <c r="Y21" i="5"/>
  <c r="X21" i="5"/>
  <c r="W21" i="5"/>
  <c r="R21" i="5"/>
  <c r="Q21" i="5"/>
  <c r="P21" i="5"/>
  <c r="O21" i="5"/>
  <c r="N21" i="5"/>
  <c r="L21" i="5"/>
  <c r="K21" i="5"/>
  <c r="J21" i="5"/>
  <c r="I21" i="5"/>
  <c r="H21" i="5"/>
  <c r="F21" i="5"/>
  <c r="E21" i="5"/>
  <c r="D21" i="5"/>
  <c r="Y20" i="5"/>
  <c r="X20" i="5"/>
  <c r="W20" i="5"/>
  <c r="R20" i="5"/>
  <c r="Q20" i="5"/>
  <c r="P20" i="5"/>
  <c r="O20" i="5"/>
  <c r="N20" i="5"/>
  <c r="L20" i="5"/>
  <c r="K20" i="5"/>
  <c r="J20" i="5"/>
  <c r="I20" i="5"/>
  <c r="H20" i="5"/>
  <c r="F20" i="5"/>
  <c r="E20" i="5"/>
  <c r="D20" i="5"/>
  <c r="Y19" i="5"/>
  <c r="X19" i="5"/>
  <c r="W19" i="5"/>
  <c r="R19" i="5"/>
  <c r="Q19" i="5"/>
  <c r="P19" i="5"/>
  <c r="O19" i="5"/>
  <c r="N19" i="5"/>
  <c r="N22" i="5" s="1"/>
  <c r="L19" i="5"/>
  <c r="K19" i="5"/>
  <c r="J19" i="5"/>
  <c r="I19" i="5"/>
  <c r="H19" i="5"/>
  <c r="F19" i="5"/>
  <c r="E19" i="5"/>
  <c r="E23" i="5"/>
  <c r="D19" i="5"/>
  <c r="Y18" i="5"/>
  <c r="X18" i="5"/>
  <c r="X22" i="5" s="1"/>
  <c r="W18" i="5"/>
  <c r="R18" i="5"/>
  <c r="Q18" i="5"/>
  <c r="P18" i="5"/>
  <c r="O18" i="5"/>
  <c r="O23" i="5" s="1"/>
  <c r="N18" i="5"/>
  <c r="L18" i="5"/>
  <c r="K18" i="5"/>
  <c r="J18" i="5"/>
  <c r="I18" i="5"/>
  <c r="H18" i="5"/>
  <c r="F18" i="5"/>
  <c r="F22" i="5" s="1"/>
  <c r="E18" i="5"/>
  <c r="D18" i="5"/>
  <c r="Y17" i="5"/>
  <c r="X17" i="5"/>
  <c r="W17" i="5"/>
  <c r="W22" i="5" s="1"/>
  <c r="R17" i="5"/>
  <c r="Q17" i="5"/>
  <c r="P17" i="5"/>
  <c r="O17" i="5"/>
  <c r="N17" i="5"/>
  <c r="L17" i="5"/>
  <c r="K17" i="5"/>
  <c r="K23" i="5" s="1"/>
  <c r="J17" i="5"/>
  <c r="J23" i="5" s="1"/>
  <c r="I17" i="5"/>
  <c r="I23" i="5" s="1"/>
  <c r="H17" i="5"/>
  <c r="F17" i="5"/>
  <c r="E17" i="5"/>
  <c r="D17" i="5"/>
  <c r="D23" i="5" s="1"/>
  <c r="Y16" i="5"/>
  <c r="Y22" i="5" s="1"/>
  <c r="X16" i="5"/>
  <c r="W16" i="5"/>
  <c r="R16" i="5"/>
  <c r="R22" i="5" s="1"/>
  <c r="R23" i="5"/>
  <c r="Q16" i="5"/>
  <c r="Q23" i="5" s="1"/>
  <c r="P16" i="5"/>
  <c r="P22" i="5" s="1"/>
  <c r="O16" i="5"/>
  <c r="N16" i="5"/>
  <c r="L16" i="5"/>
  <c r="L22" i="5" s="1"/>
  <c r="K16" i="5"/>
  <c r="J16" i="5"/>
  <c r="J22" i="5" s="1"/>
  <c r="I16" i="5"/>
  <c r="H16" i="5"/>
  <c r="H23" i="5" s="1"/>
  <c r="F16" i="5"/>
  <c r="E16" i="5"/>
  <c r="D16" i="5"/>
  <c r="V11" i="5"/>
  <c r="U11" i="5"/>
  <c r="T11" i="5"/>
  <c r="S11" i="5"/>
  <c r="M11" i="5"/>
  <c r="G11" i="5"/>
  <c r="V10" i="5"/>
  <c r="U10" i="5"/>
  <c r="T10" i="5"/>
  <c r="S10" i="5"/>
  <c r="M10" i="5"/>
  <c r="G10" i="5"/>
  <c r="Y9" i="5"/>
  <c r="X9" i="5"/>
  <c r="W9" i="5"/>
  <c r="R9" i="5"/>
  <c r="Q9" i="5"/>
  <c r="P9" i="5"/>
  <c r="P10" i="5" s="1"/>
  <c r="O9" i="5"/>
  <c r="N9" i="5"/>
  <c r="L9" i="5"/>
  <c r="K9" i="5"/>
  <c r="J9" i="5"/>
  <c r="I9" i="5"/>
  <c r="H9" i="5"/>
  <c r="H11" i="5"/>
  <c r="F9" i="5"/>
  <c r="E9" i="5"/>
  <c r="D9" i="5"/>
  <c r="Y8" i="5"/>
  <c r="X8" i="5"/>
  <c r="W8" i="5"/>
  <c r="R8" i="5"/>
  <c r="Q8" i="5"/>
  <c r="P8" i="5"/>
  <c r="O8" i="5"/>
  <c r="N8" i="5"/>
  <c r="L8" i="5"/>
  <c r="K8" i="5"/>
  <c r="J8" i="5"/>
  <c r="I8" i="5"/>
  <c r="H8" i="5"/>
  <c r="F8" i="5"/>
  <c r="E8" i="5"/>
  <c r="D8" i="5"/>
  <c r="Y7" i="5"/>
  <c r="X7" i="5"/>
  <c r="W7" i="5"/>
  <c r="W11" i="5" s="1"/>
  <c r="R7" i="5"/>
  <c r="Q7" i="5"/>
  <c r="P7" i="5"/>
  <c r="O7" i="5"/>
  <c r="N7" i="5"/>
  <c r="L7" i="5"/>
  <c r="K7" i="5"/>
  <c r="K11" i="5" s="1"/>
  <c r="J7" i="5"/>
  <c r="I7" i="5"/>
  <c r="H7" i="5"/>
  <c r="F7" i="5"/>
  <c r="E7" i="5"/>
  <c r="D7" i="5"/>
  <c r="Y6" i="5"/>
  <c r="Y11" i="5" s="1"/>
  <c r="X6" i="5"/>
  <c r="W6" i="5"/>
  <c r="R6" i="5"/>
  <c r="Q6" i="5"/>
  <c r="P6" i="5"/>
  <c r="O6" i="5"/>
  <c r="N6" i="5"/>
  <c r="L6" i="5"/>
  <c r="K6" i="5"/>
  <c r="J6" i="5"/>
  <c r="I6" i="5"/>
  <c r="H6" i="5"/>
  <c r="F6" i="5"/>
  <c r="E6" i="5"/>
  <c r="D6" i="5"/>
  <c r="D10" i="5" s="1"/>
  <c r="Y5" i="5"/>
  <c r="X5" i="5"/>
  <c r="W5" i="5"/>
  <c r="R5" i="5"/>
  <c r="Q5" i="5"/>
  <c r="Q11" i="5" s="1"/>
  <c r="Q10" i="5"/>
  <c r="P5" i="5"/>
  <c r="O5" i="5"/>
  <c r="N5" i="5"/>
  <c r="L5" i="5"/>
  <c r="K5" i="5"/>
  <c r="J5" i="5"/>
  <c r="J10" i="5" s="1"/>
  <c r="I5" i="5"/>
  <c r="H5" i="5"/>
  <c r="F5" i="5"/>
  <c r="E5" i="5"/>
  <c r="D5" i="5"/>
  <c r="Y4" i="5"/>
  <c r="X4" i="5"/>
  <c r="X10" i="5"/>
  <c r="X11" i="5"/>
  <c r="W4" i="5"/>
  <c r="W10" i="5" s="1"/>
  <c r="R4" i="5"/>
  <c r="R10" i="5" s="1"/>
  <c r="Q4" i="5"/>
  <c r="P4" i="5"/>
  <c r="P11" i="5" s="1"/>
  <c r="O4" i="5"/>
  <c r="O10" i="5" s="1"/>
  <c r="N4" i="5"/>
  <c r="N10" i="5" s="1"/>
  <c r="L4" i="5"/>
  <c r="L11" i="5" s="1"/>
  <c r="K4" i="5"/>
  <c r="K10" i="5" s="1"/>
  <c r="J4" i="5"/>
  <c r="J11" i="5"/>
  <c r="I4" i="5"/>
  <c r="I10" i="5" s="1"/>
  <c r="H4" i="5"/>
  <c r="H10" i="5" s="1"/>
  <c r="F4" i="5"/>
  <c r="F10" i="5"/>
  <c r="E4" i="5"/>
  <c r="E11" i="5" s="1"/>
  <c r="D4" i="5"/>
  <c r="D11" i="5"/>
  <c r="W23" i="5"/>
  <c r="F11" i="5"/>
  <c r="L13" i="4"/>
  <c r="L11" i="4"/>
  <c r="L9" i="4"/>
  <c r="L7" i="4"/>
  <c r="L5" i="4"/>
  <c r="E17" i="4"/>
  <c r="E15" i="4"/>
  <c r="E13" i="4"/>
  <c r="E11" i="4"/>
  <c r="E9" i="4"/>
  <c r="E7" i="4"/>
  <c r="E5" i="4"/>
  <c r="E120" i="1"/>
  <c r="F120" i="1"/>
  <c r="H120" i="1"/>
  <c r="E117" i="1"/>
  <c r="F117" i="1"/>
  <c r="H117" i="1"/>
  <c r="E114" i="1"/>
  <c r="F114" i="1"/>
  <c r="H114" i="1"/>
  <c r="F111" i="1"/>
  <c r="H111" i="1"/>
  <c r="E111" i="1"/>
  <c r="F108" i="1"/>
  <c r="H108" i="1"/>
  <c r="E108" i="1"/>
  <c r="F105" i="1"/>
  <c r="H105" i="1"/>
  <c r="E105" i="1"/>
  <c r="H102" i="1"/>
  <c r="F102" i="1"/>
  <c r="E102" i="1"/>
  <c r="H99" i="1"/>
  <c r="F99" i="1"/>
  <c r="E99" i="1"/>
  <c r="E96" i="1"/>
  <c r="F96" i="1"/>
  <c r="H96" i="1"/>
  <c r="E93" i="1"/>
  <c r="F93" i="1"/>
  <c r="H93" i="1"/>
  <c r="E90" i="1"/>
  <c r="F90" i="1"/>
  <c r="H90" i="1"/>
  <c r="F87" i="1"/>
  <c r="H87" i="1"/>
  <c r="E87" i="1"/>
  <c r="F84" i="1"/>
  <c r="H84" i="1"/>
  <c r="E84" i="1"/>
  <c r="F81" i="1"/>
  <c r="H81" i="1"/>
  <c r="E81" i="1"/>
  <c r="F78" i="1"/>
  <c r="H78" i="1"/>
  <c r="E78" i="1"/>
  <c r="H75" i="1"/>
  <c r="F75" i="1"/>
  <c r="E75" i="1"/>
  <c r="E72" i="1"/>
  <c r="F72" i="1"/>
  <c r="H72" i="1"/>
  <c r="E69" i="1"/>
  <c r="F69" i="1"/>
  <c r="H69" i="1"/>
  <c r="E66" i="1"/>
  <c r="F66" i="1"/>
  <c r="H66" i="1"/>
  <c r="E63" i="1"/>
  <c r="F63" i="1"/>
  <c r="H63" i="1"/>
  <c r="F60" i="1"/>
  <c r="H60" i="1"/>
  <c r="E60" i="1"/>
  <c r="E57" i="1"/>
  <c r="F57" i="1"/>
  <c r="H57" i="1"/>
  <c r="F54" i="1"/>
  <c r="H54" i="1"/>
  <c r="E54" i="1"/>
  <c r="E51" i="1"/>
  <c r="F51" i="1"/>
  <c r="H51" i="1"/>
  <c r="E48" i="1"/>
  <c r="F48" i="1"/>
  <c r="H48" i="1"/>
  <c r="E45" i="1"/>
  <c r="F45" i="1"/>
  <c r="H45" i="1"/>
  <c r="E42" i="1"/>
  <c r="F42" i="1"/>
  <c r="H42" i="1"/>
  <c r="E39" i="1"/>
  <c r="F39" i="1"/>
  <c r="H39" i="1"/>
  <c r="F36" i="1"/>
  <c r="H36" i="1"/>
  <c r="E36" i="1"/>
  <c r="E33" i="1"/>
  <c r="F33" i="1"/>
  <c r="H33" i="1"/>
  <c r="E30" i="1"/>
  <c r="F30" i="1"/>
  <c r="H30" i="1"/>
  <c r="E27" i="1"/>
  <c r="F27" i="1"/>
  <c r="H27" i="1"/>
  <c r="F24" i="1"/>
  <c r="H24" i="1"/>
  <c r="E24" i="1"/>
  <c r="E21" i="1"/>
  <c r="F21" i="1"/>
  <c r="H21" i="1"/>
  <c r="E18" i="1"/>
  <c r="F18" i="1"/>
  <c r="H18" i="1"/>
  <c r="E15" i="1"/>
  <c r="F15" i="1"/>
  <c r="H15" i="1"/>
  <c r="F12" i="1"/>
  <c r="H12" i="1"/>
  <c r="E12" i="1"/>
  <c r="E9" i="1"/>
  <c r="F9" i="1"/>
  <c r="H9" i="1"/>
  <c r="F6" i="1"/>
  <c r="H6" i="1"/>
  <c r="E6" i="1"/>
  <c r="M25" i="1"/>
  <c r="L25" i="1"/>
  <c r="M29" i="1"/>
  <c r="L29" i="1"/>
  <c r="M23" i="1"/>
  <c r="L23" i="1"/>
  <c r="M21" i="1"/>
  <c r="L27" i="1"/>
  <c r="M27" i="1"/>
  <c r="L37" i="6"/>
  <c r="K37" i="6"/>
  <c r="L29" i="6"/>
  <c r="K29" i="6"/>
  <c r="K35" i="6"/>
  <c r="L35" i="6"/>
  <c r="L39" i="6"/>
  <c r="K39" i="6"/>
  <c r="L31" i="6"/>
  <c r="K31" i="6"/>
  <c r="K33" i="6"/>
  <c r="L33" i="6"/>
  <c r="L27" i="8"/>
  <c r="K27" i="8"/>
  <c r="H91" i="8"/>
  <c r="L29" i="8"/>
  <c r="H123" i="8"/>
  <c r="K29" i="8"/>
  <c r="H63" i="8"/>
  <c r="L25" i="8"/>
  <c r="K25" i="8"/>
  <c r="L21" i="8"/>
  <c r="K21" i="8"/>
  <c r="H7" i="8"/>
  <c r="K23" i="8"/>
  <c r="H39" i="8"/>
  <c r="L23" i="8"/>
  <c r="H36" i="8"/>
  <c r="M25" i="8"/>
  <c r="N25" i="8"/>
  <c r="N23" i="8"/>
  <c r="M23" i="8"/>
  <c r="N29" i="8"/>
  <c r="M29" i="8"/>
  <c r="N21" i="8"/>
  <c r="M21" i="8"/>
  <c r="N27" i="8"/>
  <c r="M27" i="8"/>
  <c r="H7" i="12"/>
  <c r="M21" i="12"/>
  <c r="M23" i="12"/>
  <c r="H81" i="12"/>
  <c r="M27" i="12"/>
  <c r="H51" i="12"/>
  <c r="M25" i="12"/>
  <c r="N59" i="5"/>
  <c r="I22" i="5"/>
  <c r="P23" i="5"/>
  <c r="X59" i="5"/>
  <c r="H29" i="11"/>
  <c r="Q44" i="11"/>
  <c r="H58" i="5"/>
  <c r="Q58" i="11"/>
  <c r="V43" i="11"/>
  <c r="Q13" i="11"/>
  <c r="V14" i="11"/>
  <c r="H58" i="11"/>
  <c r="D58" i="5"/>
  <c r="E22" i="5"/>
  <c r="X23" i="5"/>
  <c r="Q47" i="5"/>
  <c r="Q58" i="5"/>
  <c r="R35" i="5"/>
  <c r="P47" i="5"/>
  <c r="O22" i="5"/>
  <c r="K34" i="5"/>
  <c r="Y35" i="5"/>
  <c r="K58" i="5"/>
  <c r="V28" i="11"/>
  <c r="N11" i="5"/>
  <c r="L10" i="5"/>
  <c r="H47" i="5"/>
  <c r="W58" i="5"/>
  <c r="Y58" i="5"/>
  <c r="L43" i="11"/>
  <c r="J13" i="11"/>
  <c r="S44" i="11"/>
  <c r="I47" i="5"/>
  <c r="V59" i="11"/>
  <c r="R11" i="5" l="1"/>
  <c r="I11" i="5"/>
  <c r="O28" i="11"/>
  <c r="Q22" i="5"/>
  <c r="Y23" i="5"/>
  <c r="N35" i="5"/>
  <c r="D47" i="5"/>
  <c r="L59" i="5"/>
  <c r="O11" i="5"/>
  <c r="H22" i="5"/>
  <c r="L23" i="5"/>
  <c r="F23" i="5"/>
  <c r="E34" i="5"/>
  <c r="J35" i="5"/>
  <c r="Q34" i="5"/>
  <c r="L48" i="5"/>
  <c r="R47" i="5"/>
  <c r="I58" i="5"/>
  <c r="E29" i="11"/>
  <c r="Y43" i="11"/>
  <c r="N23" i="5"/>
  <c r="W47" i="5"/>
  <c r="F48" i="5"/>
  <c r="J58" i="5"/>
  <c r="J43" i="11"/>
  <c r="D59" i="11"/>
  <c r="O13" i="11"/>
  <c r="Y10" i="5"/>
  <c r="D22" i="5"/>
  <c r="D14" i="11"/>
  <c r="S14" i="11"/>
  <c r="K22" i="5"/>
  <c r="E10" i="5"/>
  <c r="L35" i="5"/>
  <c r="P34" i="5"/>
  <c r="D29" i="11"/>
  <c r="K48" i="5"/>
  <c r="I57" i="13"/>
  <c r="H138" i="13"/>
  <c r="H147" i="13"/>
  <c r="H12" i="13"/>
  <c r="I12" i="13" s="1"/>
  <c r="H54" i="13"/>
  <c r="H126" i="13"/>
  <c r="H75" i="13"/>
  <c r="H117" i="13"/>
  <c r="H33" i="13"/>
  <c r="I7" i="13"/>
  <c r="P23" i="13" l="1"/>
  <c r="O23" i="13"/>
  <c r="M27" i="13"/>
  <c r="I54" i="13"/>
  <c r="N27" i="13"/>
  <c r="N23" i="13"/>
  <c r="N29" i="13"/>
  <c r="M29" i="13"/>
  <c r="N38" i="13"/>
  <c r="M38" i="13"/>
  <c r="N42" i="13"/>
  <c r="M42" i="13"/>
  <c r="N25" i="13"/>
  <c r="M25" i="13"/>
  <c r="M23" i="13"/>
  <c r="M36" i="13"/>
  <c r="N36" i="13"/>
  <c r="N40" i="13"/>
  <c r="M40" i="13"/>
  <c r="P27" i="13" l="1"/>
  <c r="O27" i="13"/>
</calcChain>
</file>

<file path=xl/sharedStrings.xml><?xml version="1.0" encoding="utf-8"?>
<sst xmlns="http://schemas.openxmlformats.org/spreadsheetml/2006/main" count="1889" uniqueCount="360">
  <si>
    <t>.</t>
  </si>
  <si>
    <t>BLEO</t>
  </si>
  <si>
    <t xml:space="preserve">R/AK </t>
  </si>
  <si>
    <t>treatment</t>
  </si>
  <si>
    <t>C</t>
  </si>
  <si>
    <t>Assay 2</t>
  </si>
  <si>
    <t>Assay 1</t>
  </si>
  <si>
    <t>Summary</t>
  </si>
  <si>
    <t>P-V- BLEO</t>
  </si>
  <si>
    <t>P-V- BLEO + RR</t>
  </si>
  <si>
    <t>P-V- BLEO + AK</t>
  </si>
  <si>
    <t>WT BLEO</t>
  </si>
  <si>
    <t>Mean</t>
  </si>
  <si>
    <t>SEM</t>
  </si>
  <si>
    <t>P-V-</t>
  </si>
  <si>
    <t>DTR+PV-</t>
  </si>
  <si>
    <t>R/PBS</t>
  </si>
  <si>
    <t>Average</t>
  </si>
  <si>
    <t>DTR+:DT P-V- + PBS</t>
  </si>
  <si>
    <t>DTR:DT P-V- + RR</t>
  </si>
  <si>
    <t>DTR+:DT WT + PBS</t>
  </si>
  <si>
    <t>DTR-:PBS Control</t>
  </si>
  <si>
    <t>DTR- C</t>
  </si>
  <si>
    <t>BAL samples</t>
  </si>
  <si>
    <t>DTR+:DT  P-/V- + RR</t>
  </si>
  <si>
    <t>&lt;26.86</t>
  </si>
  <si>
    <t>&lt;12.21</t>
  </si>
  <si>
    <t>DTR+:DT  P-/V- + PBS</t>
  </si>
  <si>
    <t xml:space="preserve"> </t>
  </si>
  <si>
    <t>DTR -</t>
  </si>
  <si>
    <t>Murine PAI-1 Assay</t>
  </si>
  <si>
    <t>PAI-1RR Assay</t>
  </si>
  <si>
    <t>BLEO:P-V- + PBS</t>
  </si>
  <si>
    <t>BLEO:WT + PBS</t>
  </si>
  <si>
    <t>BAL Murine PAI-1</t>
  </si>
  <si>
    <t>Sample Name</t>
  </si>
  <si>
    <t>MFI</t>
  </si>
  <si>
    <t>background</t>
  </si>
  <si>
    <t>50000pg/mL</t>
  </si>
  <si>
    <t>12500pg/mL</t>
  </si>
  <si>
    <t>3125pg/mL</t>
  </si>
  <si>
    <t>781.25pg/mL</t>
  </si>
  <si>
    <t>195.31pg/mL</t>
  </si>
  <si>
    <t>48.83pg/mL</t>
  </si>
  <si>
    <t>12.21pg/mL</t>
  </si>
  <si>
    <t>BLEO:P-V- + RR</t>
  </si>
  <si>
    <t>PBS:WT</t>
  </si>
  <si>
    <t xml:space="preserve">BAL PAI-1RR  </t>
  </si>
  <si>
    <t>Concentration (pg/ml)</t>
  </si>
  <si>
    <t>DT 12.5</t>
  </si>
  <si>
    <t>10//22/14</t>
  </si>
  <si>
    <t>10//23/15</t>
  </si>
  <si>
    <t>10//24/16</t>
  </si>
  <si>
    <t>10//25/15</t>
  </si>
  <si>
    <t>10//26/17</t>
  </si>
  <si>
    <t>10//27/16</t>
  </si>
  <si>
    <t>10//28/18</t>
  </si>
  <si>
    <t>10//29/17</t>
  </si>
  <si>
    <t>10//30/22</t>
  </si>
  <si>
    <t>DT mkl</t>
  </si>
  <si>
    <t>day 0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</si>
  <si>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</si>
  <si>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</si>
  <si>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</si>
  <si>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</si>
  <si>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</si>
  <si>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</si>
  <si>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</si>
  <si>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</si>
  <si>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</si>
  <si>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</si>
  <si>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</si>
  <si>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</si>
  <si>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</si>
  <si>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</si>
  <si>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</si>
  <si>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</si>
  <si>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</si>
  <si>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</si>
  <si>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</si>
  <si>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</si>
  <si>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</si>
  <si>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F</t>
  </si>
  <si>
    <t>M</t>
  </si>
  <si>
    <t>DTR+:DT P-</t>
  </si>
  <si>
    <t>DTR+:DT VTN-</t>
  </si>
  <si>
    <t>DTR+:DT P-V-</t>
  </si>
  <si>
    <t>DTR+:DT WT</t>
  </si>
  <si>
    <t>DTR-:DT</t>
  </si>
  <si>
    <t>PAI-1/VN -/-</t>
  </si>
  <si>
    <t>Hydroxyproline Assay</t>
  </si>
  <si>
    <t>DTR+:DT:VTN-</t>
  </si>
  <si>
    <t>DTR+:DT:P-V-</t>
  </si>
  <si>
    <t>DTR+:DT:PAI-1-/-</t>
  </si>
  <si>
    <t>#2</t>
  </si>
  <si>
    <t>DTR+/VN-</t>
  </si>
  <si>
    <t>DTR+:DT:WT</t>
  </si>
  <si>
    <t>DTR+:PBS:WT</t>
  </si>
  <si>
    <t>DTR-:DT:WT</t>
  </si>
  <si>
    <t>DTR+/PAI-1-/-</t>
  </si>
  <si>
    <t>mean</t>
  </si>
  <si>
    <t>active mPAI-1  as std</t>
  </si>
  <si>
    <t>pg/mL</t>
  </si>
  <si>
    <t>total mPAI-1</t>
  </si>
  <si>
    <t>Concentration</t>
  </si>
  <si>
    <t>&lt;20.51</t>
  </si>
  <si>
    <t>84000pg/mL</t>
  </si>
  <si>
    <t>21000pg/mL</t>
  </si>
  <si>
    <t>5250pg/mL</t>
  </si>
  <si>
    <t>1312.5pg/mL</t>
  </si>
  <si>
    <t>328.13pg/mL</t>
  </si>
  <si>
    <t>82.03pg/mL</t>
  </si>
  <si>
    <t>20.51pg/mL</t>
  </si>
  <si>
    <t>Total Mean</t>
  </si>
  <si>
    <t>Total SEM</t>
  </si>
  <si>
    <t>DTR+:DT:P-V-  6589</t>
  </si>
  <si>
    <t>DTR+:DT:P-V-  6590</t>
  </si>
  <si>
    <t>DTR+:DT:P-V-  6467</t>
  </si>
  <si>
    <t>DTR+:DT:P-V-  6468</t>
  </si>
  <si>
    <t>DTR+:DT:P-V-  6471</t>
  </si>
  <si>
    <t>DTR+:DT:P-V-  6470</t>
  </si>
  <si>
    <t>DTR+:DT:P-V-  6473</t>
  </si>
  <si>
    <t>DTR+:DT:P-V-  6551</t>
  </si>
  <si>
    <t>DTR+:DT:P-V-  6550</t>
  </si>
  <si>
    <t>DTR+:DT:P-V-  6554</t>
  </si>
  <si>
    <t>DTR+:DT:P-V-  6259</t>
  </si>
  <si>
    <t>DTR+:DT:VTN-  6575</t>
  </si>
  <si>
    <t>DTR+:DT:VTN-  6479</t>
  </si>
  <si>
    <t>DTR+:DT:VTN-  6309</t>
  </si>
  <si>
    <t>DTR+:DT:VTN-  6303</t>
  </si>
  <si>
    <t>DTR+:DT:VTN-  6477</t>
  </si>
  <si>
    <t>DTR+:DT:VTN-  6305</t>
  </si>
  <si>
    <t>DTR+:DT:VTN-  6306</t>
  </si>
  <si>
    <t>DTR+:DT:VTN-  6307</t>
  </si>
  <si>
    <t>DTR+:DT:VTN-  6308</t>
  </si>
  <si>
    <t>DTR+:DT:PAI-1-  6480</t>
  </si>
  <si>
    <t>DTR+:DT:PAI-1-  6959</t>
  </si>
  <si>
    <t>DTR+:DT:PAI-1-  6437</t>
  </si>
  <si>
    <t>DTR+:DT:PAI-1-  6672</t>
  </si>
  <si>
    <t>DTR+:DT:PAI-1-  6673</t>
  </si>
  <si>
    <t>DTR+:DT:PAI-1-  6676</t>
  </si>
  <si>
    <t>DTR+:DT:PAI-1-  6675</t>
  </si>
  <si>
    <t>DTR+:DT:PAI-1-  6481</t>
  </si>
  <si>
    <t>DTR+:DT:PAI-1-  6297</t>
  </si>
  <si>
    <t>DTR+:DT:PAI-1-  6326</t>
  </si>
  <si>
    <t>DTR+:DT:PAI-1-  6327</t>
  </si>
  <si>
    <t>DTR+:DT:WT  6649</t>
  </si>
  <si>
    <t>DTR+:DT:WT  6646</t>
  </si>
  <si>
    <t>DTR+:DT:WT  6600</t>
  </si>
  <si>
    <t>DTR+:DT:WT  6652</t>
  </si>
  <si>
    <t>DTR+:DT:WT  6696</t>
  </si>
  <si>
    <t>DTR+:DT:WT  6566</t>
  </si>
  <si>
    <t>`</t>
  </si>
  <si>
    <t>2 assay</t>
  </si>
  <si>
    <t>Assay 2 Mean</t>
  </si>
  <si>
    <t>Assay 2 SEM</t>
  </si>
  <si>
    <t>Summary Mean</t>
  </si>
  <si>
    <t>Summary SEM</t>
  </si>
  <si>
    <t>BLEO:WT</t>
  </si>
  <si>
    <t>BLEO:P-V-</t>
  </si>
  <si>
    <t>BLEO:VTN-</t>
  </si>
  <si>
    <t>BLEO:PAI-1-</t>
  </si>
  <si>
    <t>Control</t>
  </si>
  <si>
    <r>
      <t>Bead Name:total mPAI-1 (#36 25ug/5x10</t>
    </r>
    <r>
      <rPr>
        <b/>
        <vertAlign val="superscript"/>
        <sz val="8"/>
        <rFont val="Tahoma"/>
        <family val="2"/>
      </rPr>
      <t>6</t>
    </r>
    <r>
      <rPr>
        <b/>
        <sz val="8"/>
        <rFont val="Tahoma"/>
        <family val="2"/>
      </rPr>
      <t xml:space="preserve"> beads mouse anti-mPAI-1) </t>
    </r>
  </si>
  <si>
    <r>
      <t>Bead Name:active mPAI-1 (#27 10ug/5x10</t>
    </r>
    <r>
      <rPr>
        <b/>
        <vertAlign val="superscript"/>
        <sz val="8"/>
        <rFont val="Tahoma"/>
        <family val="2"/>
      </rPr>
      <t>6</t>
    </r>
    <r>
      <rPr>
        <b/>
        <sz val="8"/>
        <rFont val="Tahoma"/>
        <family val="2"/>
      </rPr>
      <t xml:space="preserve"> beads uPA) </t>
    </r>
  </si>
  <si>
    <t>2ug/mL Biot antibody (rabbit anti-mPAI-1-Biot)</t>
  </si>
  <si>
    <t>no wash</t>
  </si>
  <si>
    <t>8ug/mL SA-PE</t>
  </si>
  <si>
    <t>BLEO:P-</t>
  </si>
  <si>
    <t>nM</t>
  </si>
  <si>
    <t>AK PAI-1</t>
  </si>
  <si>
    <t>WT PAI-1</t>
  </si>
  <si>
    <t>Full Length SorlA Binding</t>
  </si>
  <si>
    <t>VSP10 Domain Binding</t>
  </si>
  <si>
    <t>AK PAI-1 RU</t>
  </si>
  <si>
    <t>WT PAI-1 RU</t>
  </si>
  <si>
    <t>SORLa - BLEO</t>
  </si>
  <si>
    <t>Homo/Hetero/WT</t>
  </si>
  <si>
    <t>PBS</t>
  </si>
  <si>
    <t>day11</t>
  </si>
  <si>
    <t>day12</t>
  </si>
  <si>
    <t>day13</t>
  </si>
  <si>
    <t>SorlA-/-</t>
  </si>
  <si>
    <t>SorlA+/-</t>
  </si>
  <si>
    <t>SorlA+/+</t>
  </si>
  <si>
    <t>-/-</t>
  </si>
  <si>
    <t>+/-</t>
  </si>
  <si>
    <t>SorlA+/- &amp; -/-</t>
  </si>
  <si>
    <t>GenoTx</t>
  </si>
  <si>
    <t>Sex</t>
  </si>
  <si>
    <t>+/+</t>
  </si>
  <si>
    <t>SorlA-/-:PBS</t>
  </si>
  <si>
    <t>SorlA+/-:PBS</t>
  </si>
  <si>
    <t>SorlA+/:-PBS</t>
  </si>
  <si>
    <t>SorlA+/+:BLEO</t>
  </si>
  <si>
    <t>SorlA+/-:BLEO</t>
  </si>
  <si>
    <t>SorlA-/-:BLEO</t>
  </si>
  <si>
    <t>SorlA+/- &amp; -/-:PBS</t>
  </si>
  <si>
    <t>ng/ml</t>
  </si>
  <si>
    <t>VTN Somatomedin B Domain Inhibition of PAI-1-SorlA Binding</t>
  </si>
  <si>
    <t>Hydroxyploline</t>
  </si>
  <si>
    <t>assay</t>
  </si>
  <si>
    <t>SORLa P-</t>
  </si>
  <si>
    <t>hPAI inj</t>
  </si>
  <si>
    <t>Delta</t>
  </si>
  <si>
    <t>8159/7227</t>
  </si>
  <si>
    <t>sample</t>
  </si>
  <si>
    <t>sorla</t>
  </si>
  <si>
    <t>vinculin</t>
  </si>
  <si>
    <t>sma</t>
  </si>
  <si>
    <t>sorla/vinculin</t>
  </si>
  <si>
    <t>sma/vinculin</t>
  </si>
  <si>
    <t>normal</t>
  </si>
  <si>
    <t>ipf</t>
  </si>
  <si>
    <t>WT</t>
  </si>
  <si>
    <t>outlier</t>
  </si>
  <si>
    <t>PAI-1R  as std</t>
  </si>
  <si>
    <t>&gt;50000.00</t>
  </si>
  <si>
    <t>total hPAI-1 (pg/ml)</t>
  </si>
  <si>
    <t>mPAI-1  as std</t>
  </si>
  <si>
    <t>110000pg/mL</t>
  </si>
  <si>
    <t>27500pg/mL</t>
  </si>
  <si>
    <t>6875pg/mL</t>
  </si>
  <si>
    <t>1718.75pg/mL</t>
  </si>
  <si>
    <t>429.69pg/mL</t>
  </si>
  <si>
    <t>107.42pg/mL</t>
  </si>
  <si>
    <t>26.86pg/mL</t>
  </si>
  <si>
    <t>ng/mL</t>
  </si>
  <si>
    <t>X
(Interpolated)</t>
  </si>
  <si>
    <t>Total PAI-1</t>
  </si>
  <si>
    <t xml:space="preserve">Total Murine PAI-1 </t>
  </si>
  <si>
    <t>Total PAI-1RR</t>
  </si>
  <si>
    <t>Total murine PAI-1</t>
  </si>
  <si>
    <t>Off scale or outlier</t>
  </si>
  <si>
    <t>Imputed value from limit of detection (0.012ng) / SQRT2</t>
  </si>
  <si>
    <t>Imputed value from limit of detection (0.195ng) / SQRT2</t>
  </si>
  <si>
    <t>Imputed value of 0</t>
  </si>
  <si>
    <t>imputed value = 0</t>
  </si>
  <si>
    <t>Imputed value = 0</t>
  </si>
  <si>
    <r>
      <t>Bead Name:active hPAI-1 (#17 10ug/5x10</t>
    </r>
    <r>
      <rPr>
        <b/>
        <vertAlign val="superscript"/>
        <sz val="8"/>
        <rFont val="Tahoma"/>
        <family val="2"/>
      </rPr>
      <t>6</t>
    </r>
    <r>
      <rPr>
        <b/>
        <sz val="8"/>
        <rFont val="Tahoma"/>
        <family val="2"/>
      </rPr>
      <t xml:space="preserve"> beads uPA) </t>
    </r>
  </si>
  <si>
    <t>2ug/mL Biot antibody (rabbit anti-hPAI-1-Biot)</t>
  </si>
  <si>
    <t>5ug/mL SA-PE</t>
  </si>
  <si>
    <t>active hPAI-1  as std</t>
  </si>
  <si>
    <t>L0107</t>
  </si>
  <si>
    <t>L0102</t>
  </si>
  <si>
    <t>L0106</t>
  </si>
  <si>
    <t>L83</t>
  </si>
  <si>
    <t>L0098</t>
  </si>
  <si>
    <t>L0100</t>
  </si>
  <si>
    <t>L115</t>
  </si>
  <si>
    <t>L0081</t>
  </si>
  <si>
    <t>L0099</t>
  </si>
  <si>
    <t>PAI-1 ELISA</t>
  </si>
  <si>
    <t>BCA</t>
  </si>
  <si>
    <t>BSA (mg/mL)</t>
  </si>
  <si>
    <t>ABS 562</t>
  </si>
  <si>
    <t>avg</t>
  </si>
  <si>
    <t>-BKG</t>
  </si>
  <si>
    <t>mg/mL</t>
  </si>
  <si>
    <t>93</t>
  </si>
  <si>
    <t>Combined curevs plate 1 and 2</t>
  </si>
  <si>
    <t>PAI-1 pg/mL</t>
  </si>
  <si>
    <t>BCA mg/mL</t>
  </si>
  <si>
    <t>PAI-1 pg/mL
(Interpolated)</t>
  </si>
  <si>
    <t>PAI-1 pg/mg</t>
  </si>
  <si>
    <t>Normal</t>
  </si>
  <si>
    <t>IPF</t>
  </si>
  <si>
    <t>Outlier</t>
  </si>
  <si>
    <t>VTNnull</t>
  </si>
  <si>
    <t>Delta-WT</t>
  </si>
  <si>
    <t>Delta-VTN</t>
  </si>
  <si>
    <t>WT PBS</t>
  </si>
  <si>
    <t>wt1</t>
  </si>
  <si>
    <t>WT Not treated</t>
  </si>
  <si>
    <t xml:space="preserve">`  </t>
  </si>
  <si>
    <t>wt2</t>
  </si>
  <si>
    <t>wt3</t>
  </si>
  <si>
    <t>Ave Delta</t>
  </si>
  <si>
    <t>average WT Delta</t>
  </si>
  <si>
    <t>average P- Delta</t>
  </si>
  <si>
    <t>PAI-1 null PBS</t>
  </si>
  <si>
    <t>PAI-1 null Not treated</t>
  </si>
  <si>
    <t>PBS Sorla null</t>
  </si>
  <si>
    <t>PBS Sorla wt</t>
  </si>
  <si>
    <t>untreated Sorla null</t>
  </si>
  <si>
    <t>Delta SorlA WT</t>
  </si>
  <si>
    <t>Average WT</t>
  </si>
  <si>
    <t>average PAI-1 null</t>
  </si>
  <si>
    <t>untreated Sorla wt</t>
  </si>
  <si>
    <t>Assay 2 STD Curve</t>
  </si>
  <si>
    <t>SorlA WT Average</t>
  </si>
  <si>
    <t>SorlA WT Delta Average</t>
  </si>
  <si>
    <t>SorlA Null Average</t>
  </si>
  <si>
    <t>SorlA Null Delta Average</t>
  </si>
  <si>
    <t>Figure 5E.1</t>
  </si>
  <si>
    <t>Figure 5E.2</t>
  </si>
  <si>
    <t>SorlA Transf + PAI</t>
  </si>
  <si>
    <t>Area</t>
  </si>
  <si>
    <t>Mean PAI intensity</t>
  </si>
  <si>
    <t>Avg</t>
  </si>
  <si>
    <t>SorLA</t>
  </si>
  <si>
    <t>PAI-1</t>
  </si>
  <si>
    <t>Mock Transf + PAI-1</t>
  </si>
  <si>
    <t>Cell #</t>
  </si>
  <si>
    <t>SorlAnull/PAI-1null + Veh</t>
  </si>
  <si>
    <t>SorlAwt/PAI-1null + Veh</t>
  </si>
  <si>
    <t>Experiment 65</t>
  </si>
  <si>
    <t>Sorla wt</t>
  </si>
  <si>
    <t>Expt 65</t>
  </si>
  <si>
    <t>Experiment 55</t>
  </si>
  <si>
    <t>Assay 3</t>
  </si>
  <si>
    <t>SorlA Transf + PAI-1</t>
  </si>
  <si>
    <t>Mean PAI-1 intensity</t>
  </si>
  <si>
    <t>Expt 55</t>
  </si>
  <si>
    <t>SorlAnull/PAI-1null + hPAI-1</t>
  </si>
  <si>
    <t>SorlAwt/PAI-1null + hPAI-1</t>
  </si>
  <si>
    <t>Experiment 65 Control</t>
  </si>
  <si>
    <t>Control:SorlAnull</t>
  </si>
  <si>
    <t>Control:SorlAwt</t>
  </si>
  <si>
    <t xml:space="preserve">Control:Snull:PAI-1null </t>
  </si>
  <si>
    <t>Control:Swt:Pnull</t>
  </si>
  <si>
    <t>SorlAnull Control</t>
  </si>
  <si>
    <t>SorlAwt Control</t>
  </si>
  <si>
    <t>SorlAnull:PAI-1null Control</t>
  </si>
  <si>
    <t>SorlAwt:PAI-1null  Control</t>
  </si>
  <si>
    <t>Experiment 54</t>
  </si>
  <si>
    <t>human wt type active PAI</t>
  </si>
  <si>
    <t>PAI-A-221</t>
  </si>
  <si>
    <t xml:space="preserve"> SorlAwt:PAI-1null + PAI-1</t>
  </si>
  <si>
    <t>SorlAwt:PAI-1null + Veh</t>
  </si>
  <si>
    <t>SorlAnull:PAI-1null + PAI-1</t>
  </si>
  <si>
    <t>SorlAnull:PAI-1null + Veh</t>
  </si>
  <si>
    <t>WT CONTROL</t>
  </si>
  <si>
    <t>Expt 54</t>
  </si>
  <si>
    <t>WT Bleo</t>
  </si>
  <si>
    <t xml:space="preserve"> Summary 54 + 55 + 65</t>
  </si>
  <si>
    <t>Sample subset organized by group assignment</t>
  </si>
  <si>
    <t>Western blot of sample subset organized by group assignment</t>
  </si>
  <si>
    <t>Quantification of all samples</t>
  </si>
  <si>
    <t>load 30ug based on BCA</t>
  </si>
  <si>
    <t>condition</t>
  </si>
  <si>
    <t>reduced</t>
  </si>
  <si>
    <t>4-15% Tris-gly</t>
  </si>
  <si>
    <t>80min 120V</t>
  </si>
  <si>
    <t>transfer nitrocellulose</t>
  </si>
  <si>
    <t>overnight 4oC 44V</t>
  </si>
  <si>
    <t>block 1hr RT</t>
  </si>
  <si>
    <t>2ug/mL mouse anti-vinculin</t>
  </si>
  <si>
    <t>1hr RT</t>
  </si>
  <si>
    <t>2ug/mL rabbit anti-sorla</t>
  </si>
  <si>
    <t>1:100 mouse anti-sma</t>
  </si>
  <si>
    <t>overnight 4oC</t>
  </si>
  <si>
    <t>1:20,000 donkey anti-rabbit - 800</t>
  </si>
  <si>
    <t>1:20,000 goat anti-mouse - 700</t>
  </si>
  <si>
    <t>Western Blot of all samples</t>
  </si>
  <si>
    <t>10uL of 1:10 dilution</t>
  </si>
  <si>
    <t>*dil faction</t>
  </si>
  <si>
    <t>Western blot of sample subset organized by group assignment used for Figure 4B</t>
  </si>
  <si>
    <t>Western blot used for quantification of SORLA/Vinculin and SMA Vinculin (Panel 4C)</t>
  </si>
  <si>
    <t>Sample quantification (data from Figure 4C) used in correlation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</si>
</sst>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[$-409]d\-mmm\-yy;@"/>
    <numFmt numFmtId="167" formatCode="0.0000"/>
  </numFmts>
  <fonts count="6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10"/>
      <name val="Arial"/>
      <family val="2"/>
    </font>
    <font>
      <b/>
      <u/>
      <sz val="10"/>
      <name val="Tahoma"/>
      <family val="2"/>
    </font>
    <font>
      <sz val="11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11"/>
      <name val="Tahoma"/>
      <family val="2"/>
    </font>
    <font>
      <sz val="10"/>
      <name val="Tahoma"/>
      <family val="2"/>
    </font>
    <font>
      <b/>
      <sz val="8"/>
      <name val="Tahoma"/>
      <family val="2"/>
    </font>
    <font>
      <sz val="8"/>
      <name val="Tahoma"/>
      <family val="2"/>
    </font>
    <font>
      <sz val="9"/>
      <name val="Arial"/>
      <family val="2"/>
    </font>
    <font>
      <sz val="8"/>
      <name val="Arial"/>
      <family val="2"/>
    </font>
    <font>
      <b/>
      <sz val="12"/>
      <name val="Tahoma"/>
      <family val="2"/>
    </font>
    <font>
      <b/>
      <sz val="16"/>
      <name val="Tahoma"/>
      <family val="2"/>
    </font>
    <font>
      <b/>
      <u/>
      <sz val="10"/>
      <name val="Arial"/>
      <family val="2"/>
    </font>
    <font>
      <i/>
      <sz val="10"/>
      <name val="Arial"/>
      <family val="2"/>
    </font>
    <font>
      <b/>
      <vertAlign val="superscript"/>
      <sz val="8"/>
      <name val="Tahoma"/>
      <family val="2"/>
    </font>
    <font>
      <b/>
      <sz val="11"/>
      <name val="Tahoma"/>
      <family val="2"/>
    </font>
    <font>
      <i/>
      <sz val="8"/>
      <name val="Arial"/>
      <family val="2"/>
    </font>
    <font>
      <b/>
      <sz val="9"/>
      <name val="Arial"/>
      <family val="2"/>
    </font>
    <font>
      <sz val="8"/>
      <name val="Arial"/>
    </font>
    <font>
      <sz val="8"/>
      <name val="Helvetica"/>
      <family val="2"/>
    </font>
    <font>
      <sz val="18"/>
      <name val="Arial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0"/>
      <color rgb="FF0070C0"/>
      <name val="Arial"/>
      <family val="2"/>
    </font>
    <font>
      <b/>
      <sz val="9"/>
      <color rgb="FFFF0000"/>
      <name val="Arial"/>
      <family val="2"/>
    </font>
    <font>
      <sz val="8"/>
      <color rgb="FFFF0000"/>
      <name val="Arial"/>
      <family val="2"/>
    </font>
    <font>
      <sz val="10"/>
      <color theme="1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b/>
      <u/>
      <sz val="11"/>
      <color rgb="FF000000"/>
      <name val="Arial"/>
    </font>
    <font>
      <sz val="10"/>
      <color rgb="FF000000"/>
      <name val="Arial"/>
    </font>
    <font>
      <sz val="11"/>
      <color rgb="FF9C0006"/>
      <name val="Arial"/>
      <family val="2"/>
    </font>
    <font>
      <sz val="12"/>
      <name val="Tahoma"/>
      <family val="2"/>
    </font>
    <font>
      <sz val="12"/>
      <name val="Arial"/>
      <family val="2"/>
    </font>
    <font>
      <b/>
      <u/>
      <sz val="16"/>
      <name val="Arial"/>
      <family val="2"/>
    </font>
    <font>
      <b/>
      <i/>
      <sz val="10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8"/>
      <color indexed="57"/>
      <name val="Arial"/>
      <family val="2"/>
    </font>
    <font>
      <sz val="10"/>
      <name val="Arial"/>
    </font>
    <font>
      <sz val="11"/>
      <color rgb="FF000000"/>
      <name val="Aptos Narrow"/>
      <family val="2"/>
      <charset val="1"/>
    </font>
    <font>
      <b/>
      <sz val="11"/>
      <color rgb="FF000000"/>
      <name val="Aptos Narrow"/>
      <family val="2"/>
    </font>
    <font>
      <b/>
      <sz val="10"/>
      <color indexed="57"/>
      <name val="Arial"/>
      <family val="2"/>
    </font>
    <font>
      <b/>
      <sz val="12"/>
      <color theme="1"/>
      <name val="Arial"/>
      <family val="2"/>
    </font>
    <font>
      <u/>
      <sz val="11"/>
      <color theme="1"/>
      <name val="Arial"/>
      <family val="2"/>
    </font>
    <font>
      <b/>
      <u/>
      <sz val="11"/>
      <color theme="1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0070C0"/>
        <bgColor indexed="64"/>
      </patternFill>
    </fill>
    <fill>
      <patternFill patternType="solid">
        <fgColor rgb="FF159BFF"/>
        <bgColor indexed="64"/>
      </patternFill>
    </fill>
    <fill>
      <patternFill patternType="solid">
        <fgColor rgb="FFFFFF4F"/>
        <bgColor indexed="64"/>
      </patternFill>
    </fill>
    <fill>
      <patternFill patternType="solid">
        <fgColor rgb="FFB6DF8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8">
    <xf numFmtId="0" fontId="0" fillId="0" borderId="0"/>
    <xf numFmtId="0" fontId="6" fillId="0" borderId="0"/>
    <xf numFmtId="0" fontId="3" fillId="0" borderId="0"/>
    <xf numFmtId="0" fontId="45" fillId="33" borderId="0" applyNumberFormat="0" applyBorder="0" applyAlignment="0" applyProtection="0"/>
    <xf numFmtId="0" fontId="2" fillId="0" borderId="0"/>
    <xf numFmtId="0" fontId="54" fillId="0" borderId="0"/>
    <xf numFmtId="0" fontId="1" fillId="0" borderId="0"/>
    <xf numFmtId="0" fontId="1" fillId="0" borderId="0"/>
  </cellStyleXfs>
  <cellXfs count="1012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4" fontId="0" fillId="0" borderId="0" xfId="0" applyNumberFormat="1"/>
    <xf numFmtId="0" fontId="0" fillId="2" borderId="1" xfId="0" applyFill="1" applyBorder="1" applyAlignment="1">
      <alignment horizontal="center"/>
    </xf>
    <xf numFmtId="0" fontId="7" fillId="0" borderId="0" xfId="0" applyFont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0" fontId="7" fillId="0" borderId="0" xfId="0" applyFont="1"/>
    <xf numFmtId="14" fontId="8" fillId="0" borderId="3" xfId="0" applyNumberFormat="1" applyFont="1" applyBorder="1" applyAlignment="1">
      <alignment horizontal="center"/>
    </xf>
    <xf numFmtId="14" fontId="7" fillId="0" borderId="0" xfId="0" applyNumberFormat="1" applyFont="1" applyAlignment="1">
      <alignment horizontal="center"/>
    </xf>
    <xf numFmtId="0" fontId="6" fillId="7" borderId="2" xfId="0" applyFont="1" applyFill="1" applyBorder="1" applyAlignment="1">
      <alignment horizontal="center"/>
    </xf>
    <xf numFmtId="0" fontId="6" fillId="7" borderId="1" xfId="0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/>
    </xf>
    <xf numFmtId="0" fontId="6" fillId="9" borderId="3" xfId="0" applyFont="1" applyFill="1" applyBorder="1" applyAlignment="1">
      <alignment horizontal="center"/>
    </xf>
    <xf numFmtId="0" fontId="6" fillId="8" borderId="3" xfId="0" applyFont="1" applyFill="1" applyBorder="1" applyAlignment="1">
      <alignment horizontal="center"/>
    </xf>
    <xf numFmtId="0" fontId="6" fillId="7" borderId="3" xfId="0" applyFont="1" applyFill="1" applyBorder="1" applyAlignment="1">
      <alignment horizontal="center"/>
    </xf>
    <xf numFmtId="0" fontId="6" fillId="6" borderId="3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9" borderId="2" xfId="0" applyFont="1" applyFill="1" applyBorder="1" applyAlignment="1">
      <alignment horizontal="center"/>
    </xf>
    <xf numFmtId="0" fontId="0" fillId="0" borderId="1" xfId="0" applyBorder="1"/>
    <xf numFmtId="0" fontId="6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9" xfId="0" applyBorder="1" applyAlignment="1">
      <alignment horizontal="center"/>
    </xf>
    <xf numFmtId="0" fontId="0" fillId="0" borderId="9" xfId="0" applyBorder="1"/>
    <xf numFmtId="0" fontId="6" fillId="6" borderId="1" xfId="0" applyFont="1" applyFill="1" applyBorder="1" applyAlignment="1">
      <alignment horizontal="center"/>
    </xf>
    <xf numFmtId="0" fontId="5" fillId="0" borderId="10" xfId="0" applyFont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6" fillId="10" borderId="13" xfId="0" applyFont="1" applyFill="1" applyBorder="1" applyAlignment="1">
      <alignment horizontal="center"/>
    </xf>
    <xf numFmtId="0" fontId="6" fillId="10" borderId="14" xfId="0" applyFont="1" applyFill="1" applyBorder="1" applyAlignment="1">
      <alignment horizont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6" fillId="8" borderId="21" xfId="0" applyFont="1" applyFill="1" applyBorder="1" applyAlignment="1">
      <alignment horizontal="center"/>
    </xf>
    <xf numFmtId="0" fontId="8" fillId="0" borderId="0" xfId="0" applyFont="1"/>
    <xf numFmtId="0" fontId="6" fillId="0" borderId="0" xfId="0" applyFont="1" applyAlignment="1">
      <alignment horizontal="center"/>
    </xf>
    <xf numFmtId="0" fontId="0" fillId="0" borderId="24" xfId="0" applyBorder="1"/>
    <xf numFmtId="0" fontId="0" fillId="10" borderId="13" xfId="0" applyFill="1" applyBorder="1" applyAlignment="1">
      <alignment horizontal="center" vertical="center"/>
    </xf>
    <xf numFmtId="0" fontId="0" fillId="10" borderId="14" xfId="0" applyFill="1" applyBorder="1" applyAlignment="1">
      <alignment horizontal="center" vertical="center"/>
    </xf>
    <xf numFmtId="0" fontId="6" fillId="0" borderId="0" xfId="0" applyFont="1"/>
    <xf numFmtId="0" fontId="6" fillId="0" borderId="20" xfId="0" applyFont="1" applyBorder="1" applyAlignment="1">
      <alignment horizontal="center"/>
    </xf>
    <xf numFmtId="0" fontId="6" fillId="0" borderId="1" xfId="0" applyFont="1" applyBorder="1"/>
    <xf numFmtId="0" fontId="6" fillId="0" borderId="10" xfId="0" applyFont="1" applyBorder="1"/>
    <xf numFmtId="0" fontId="6" fillId="0" borderId="9" xfId="0" applyFont="1" applyBorder="1"/>
    <xf numFmtId="0" fontId="6" fillId="0" borderId="12" xfId="0" applyFont="1" applyBorder="1"/>
    <xf numFmtId="0" fontId="6" fillId="0" borderId="2" xfId="0" applyFont="1" applyBorder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0" fontId="0" fillId="0" borderId="2" xfId="0" applyBorder="1" applyAlignment="1">
      <alignment horizontal="center" vertical="center" wrapText="1"/>
    </xf>
    <xf numFmtId="2" fontId="12" fillId="0" borderId="0" xfId="0" applyNumberFormat="1" applyFont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2" fontId="12" fillId="0" borderId="0" xfId="0" applyNumberFormat="1" applyFont="1" applyAlignment="1">
      <alignment horizontal="center"/>
    </xf>
    <xf numFmtId="1" fontId="6" fillId="0" borderId="10" xfId="0" applyNumberFormat="1" applyFont="1" applyBorder="1" applyAlignment="1">
      <alignment horizontal="center"/>
    </xf>
    <xf numFmtId="0" fontId="0" fillId="0" borderId="0" xfId="0" applyAlignment="1">
      <alignment vertical="center" wrapText="1"/>
    </xf>
    <xf numFmtId="2" fontId="7" fillId="0" borderId="10" xfId="0" applyNumberFormat="1" applyFont="1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2" fontId="7" fillId="0" borderId="11" xfId="0" applyNumberFormat="1" applyFont="1" applyBorder="1" applyAlignment="1">
      <alignment horizontal="center"/>
    </xf>
    <xf numFmtId="0" fontId="0" fillId="0" borderId="2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0" borderId="4" xfId="0" applyFont="1" applyBorder="1" applyAlignment="1">
      <alignment horizontal="center"/>
    </xf>
    <xf numFmtId="0" fontId="11" fillId="7" borderId="2" xfId="0" applyFont="1" applyFill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7" borderId="1" xfId="0" applyFont="1" applyFill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1" fillId="7" borderId="1" xfId="0" quotePrefix="1" applyFont="1" applyFill="1" applyBorder="1" applyAlignment="1">
      <alignment horizontal="center"/>
    </xf>
    <xf numFmtId="0" fontId="11" fillId="11" borderId="1" xfId="0" quotePrefix="1" applyFont="1" applyFill="1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 wrapText="1"/>
    </xf>
    <xf numFmtId="0" fontId="15" fillId="0" borderId="5" xfId="0" quotePrefix="1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/>
    </xf>
    <xf numFmtId="0" fontId="11" fillId="0" borderId="5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5" xfId="0" quotePrefix="1" applyFont="1" applyBorder="1" applyAlignment="1">
      <alignment horizontal="center"/>
    </xf>
    <xf numFmtId="0" fontId="11" fillId="12" borderId="1" xfId="0" applyFont="1" applyFill="1" applyBorder="1" applyAlignment="1">
      <alignment horizontal="center" vertical="center" wrapText="1"/>
    </xf>
    <xf numFmtId="22" fontId="11" fillId="0" borderId="5" xfId="0" quotePrefix="1" applyNumberFormat="1" applyFont="1" applyBorder="1" applyAlignment="1">
      <alignment horizontal="center"/>
    </xf>
    <xf numFmtId="22" fontId="15" fillId="0" borderId="5" xfId="0" quotePrefix="1" applyNumberFormat="1" applyFont="1" applyBorder="1" applyAlignment="1">
      <alignment horizontal="center"/>
    </xf>
    <xf numFmtId="0" fontId="11" fillId="0" borderId="9" xfId="0" applyFont="1" applyBorder="1" applyAlignment="1">
      <alignment horizontal="center" vertical="center" wrapText="1"/>
    </xf>
    <xf numFmtId="0" fontId="11" fillId="0" borderId="4" xfId="0" quotePrefix="1" applyFont="1" applyBorder="1" applyAlignment="1">
      <alignment horizontal="center"/>
    </xf>
    <xf numFmtId="0" fontId="11" fillId="13" borderId="1" xfId="0" applyFont="1" applyFill="1" applyBorder="1" applyAlignment="1">
      <alignment horizontal="center" vertical="center" wrapText="1"/>
    </xf>
    <xf numFmtId="0" fontId="15" fillId="0" borderId="6" xfId="0" quotePrefix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7" borderId="2" xfId="0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11" fillId="7" borderId="1" xfId="0" quotePrefix="1" applyFont="1" applyFill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0" fontId="11" fillId="11" borderId="1" xfId="0" quotePrefix="1" applyFont="1" applyFill="1" applyBorder="1" applyAlignment="1">
      <alignment horizontal="center" vertical="center"/>
    </xf>
    <xf numFmtId="0" fontId="15" fillId="0" borderId="5" xfId="0" quotePrefix="1" applyFont="1" applyBorder="1" applyAlignment="1">
      <alignment horizontal="center" vertical="center"/>
    </xf>
    <xf numFmtId="0" fontId="11" fillId="11" borderId="1" xfId="0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5" xfId="0" quotePrefix="1" applyFont="1" applyBorder="1" applyAlignment="1">
      <alignment horizontal="center" vertical="center"/>
    </xf>
    <xf numFmtId="22" fontId="11" fillId="0" borderId="5" xfId="0" quotePrefix="1" applyNumberFormat="1" applyFont="1" applyBorder="1" applyAlignment="1">
      <alignment horizontal="center" vertical="center"/>
    </xf>
    <xf numFmtId="22" fontId="15" fillId="0" borderId="5" xfId="0" quotePrefix="1" applyNumberFormat="1" applyFont="1" applyBorder="1" applyAlignment="1">
      <alignment horizontal="center" vertical="center"/>
    </xf>
    <xf numFmtId="0" fontId="15" fillId="0" borderId="8" xfId="0" quotePrefix="1" applyFont="1" applyBorder="1" applyAlignment="1">
      <alignment horizontal="center" vertical="center"/>
    </xf>
    <xf numFmtId="0" fontId="11" fillId="0" borderId="4" xfId="0" quotePrefix="1" applyFont="1" applyBorder="1" applyAlignment="1">
      <alignment horizontal="center" vertical="center"/>
    </xf>
    <xf numFmtId="0" fontId="15" fillId="0" borderId="6" xfId="0" quotePrefix="1" applyFont="1" applyBorder="1" applyAlignment="1">
      <alignment horizontal="center" vertical="center"/>
    </xf>
    <xf numFmtId="0" fontId="34" fillId="15" borderId="0" xfId="0" applyFont="1" applyFill="1" applyAlignment="1">
      <alignment horizontal="center" vertical="center"/>
    </xf>
    <xf numFmtId="2" fontId="13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11" fillId="12" borderId="2" xfId="0" applyFont="1" applyFill="1" applyBorder="1" applyAlignment="1">
      <alignment horizontal="center" vertical="center" wrapText="1"/>
    </xf>
    <xf numFmtId="0" fontId="0" fillId="0" borderId="29" xfId="0" applyBorder="1"/>
    <xf numFmtId="164" fontId="0" fillId="0" borderId="0" xfId="0" applyNumberFormat="1" applyAlignment="1">
      <alignment horizontal="center"/>
    </xf>
    <xf numFmtId="0" fontId="0" fillId="0" borderId="25" xfId="0" applyBorder="1"/>
    <xf numFmtId="0" fontId="5" fillId="0" borderId="0" xfId="0" applyFont="1"/>
    <xf numFmtId="0" fontId="6" fillId="0" borderId="5" xfId="0" quotePrefix="1" applyFont="1" applyBorder="1" applyAlignment="1">
      <alignment horizontal="right"/>
    </xf>
    <xf numFmtId="0" fontId="0" fillId="0" borderId="5" xfId="0" applyBorder="1" applyAlignment="1">
      <alignment horizontal="center"/>
    </xf>
    <xf numFmtId="0" fontId="18" fillId="0" borderId="0" xfId="0" applyFont="1" applyAlignment="1">
      <alignment horizontal="center" vertical="center"/>
    </xf>
    <xf numFmtId="2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right" vertical="center"/>
    </xf>
    <xf numFmtId="0" fontId="11" fillId="7" borderId="2" xfId="0" applyFont="1" applyFill="1" applyBorder="1" applyAlignment="1">
      <alignment horizontal="right"/>
    </xf>
    <xf numFmtId="0" fontId="11" fillId="0" borderId="1" xfId="0" applyFont="1" applyBorder="1" applyAlignment="1">
      <alignment horizontal="right"/>
    </xf>
    <xf numFmtId="0" fontId="11" fillId="7" borderId="1" xfId="0" applyFont="1" applyFill="1" applyBorder="1" applyAlignment="1">
      <alignment horizontal="right"/>
    </xf>
    <xf numFmtId="0" fontId="11" fillId="7" borderId="1" xfId="0" quotePrefix="1" applyFont="1" applyFill="1" applyBorder="1" applyAlignment="1">
      <alignment horizontal="right"/>
    </xf>
    <xf numFmtId="0" fontId="11" fillId="14" borderId="2" xfId="0" quotePrefix="1" applyFont="1" applyFill="1" applyBorder="1" applyAlignment="1">
      <alignment horizontal="right"/>
    </xf>
    <xf numFmtId="0" fontId="11" fillId="14" borderId="1" xfId="0" quotePrefix="1" applyFont="1" applyFill="1" applyBorder="1" applyAlignment="1">
      <alignment horizontal="right"/>
    </xf>
    <xf numFmtId="0" fontId="11" fillId="14" borderId="1" xfId="0" applyFont="1" applyFill="1" applyBorder="1" applyAlignment="1">
      <alignment horizontal="right" vertical="center" wrapText="1"/>
    </xf>
    <xf numFmtId="0" fontId="16" fillId="0" borderId="5" xfId="0" quotePrefix="1" applyFont="1" applyBorder="1" applyAlignment="1">
      <alignment horizontal="right"/>
    </xf>
    <xf numFmtId="0" fontId="11" fillId="0" borderId="1" xfId="0" applyFont="1" applyBorder="1" applyAlignment="1">
      <alignment horizontal="right" vertical="center" wrapText="1"/>
    </xf>
    <xf numFmtId="0" fontId="11" fillId="14" borderId="1" xfId="0" applyFont="1" applyFill="1" applyBorder="1" applyAlignment="1">
      <alignment horizontal="right"/>
    </xf>
    <xf numFmtId="0" fontId="11" fillId="0" borderId="9" xfId="0" applyFont="1" applyBorder="1" applyAlignment="1">
      <alignment horizontal="right" vertical="center" wrapText="1"/>
    </xf>
    <xf numFmtId="0" fontId="11" fillId="13" borderId="2" xfId="0" applyFont="1" applyFill="1" applyBorder="1" applyAlignment="1">
      <alignment horizontal="right"/>
    </xf>
    <xf numFmtId="0" fontId="11" fillId="13" borderId="1" xfId="0" applyFont="1" applyFill="1" applyBorder="1" applyAlignment="1">
      <alignment horizontal="right" vertical="center" wrapText="1"/>
    </xf>
    <xf numFmtId="0" fontId="11" fillId="12" borderId="2" xfId="0" applyFont="1" applyFill="1" applyBorder="1" applyAlignment="1">
      <alignment horizontal="right" vertical="center" wrapText="1"/>
    </xf>
    <xf numFmtId="0" fontId="11" fillId="12" borderId="1" xfId="0" applyFont="1" applyFill="1" applyBorder="1" applyAlignment="1">
      <alignment horizontal="right" vertical="center" wrapText="1"/>
    </xf>
    <xf numFmtId="0" fontId="11" fillId="0" borderId="7" xfId="0" applyFont="1" applyBorder="1" applyAlignment="1">
      <alignment horizontal="right" vertical="center" wrapText="1"/>
    </xf>
    <xf numFmtId="2" fontId="17" fillId="0" borderId="0" xfId="0" applyNumberFormat="1" applyFont="1" applyAlignment="1">
      <alignment horizontal="center" vertical="top"/>
    </xf>
    <xf numFmtId="2" fontId="18" fillId="0" borderId="0" xfId="0" applyNumberFormat="1" applyFont="1" applyAlignment="1">
      <alignment horizontal="center" vertical="top"/>
    </xf>
    <xf numFmtId="0" fontId="18" fillId="16" borderId="1" xfId="0" applyFont="1" applyFill="1" applyBorder="1" applyAlignment="1">
      <alignment horizontal="right" vertical="top"/>
    </xf>
    <xf numFmtId="0" fontId="18" fillId="16" borderId="1" xfId="0" applyFont="1" applyFill="1" applyBorder="1" applyAlignment="1">
      <alignment horizontal="center" vertical="top"/>
    </xf>
    <xf numFmtId="2" fontId="8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11" fillId="0" borderId="7" xfId="0" applyFont="1" applyBorder="1" applyAlignment="1">
      <alignment horizontal="right"/>
    </xf>
    <xf numFmtId="0" fontId="17" fillId="0" borderId="0" xfId="0" applyFont="1" applyAlignment="1">
      <alignment horizontal="center" vertical="top"/>
    </xf>
    <xf numFmtId="0" fontId="13" fillId="3" borderId="3" xfId="0" applyFont="1" applyFill="1" applyBorder="1" applyAlignment="1">
      <alignment horizontal="center"/>
    </xf>
    <xf numFmtId="0" fontId="4" fillId="0" borderId="0" xfId="0" applyFont="1"/>
    <xf numFmtId="14" fontId="4" fillId="0" borderId="33" xfId="0" applyNumberFormat="1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13" fillId="0" borderId="0" xfId="0" applyFont="1"/>
    <xf numFmtId="0" fontId="4" fillId="4" borderId="35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4" fillId="0" borderId="15" xfId="0" applyFont="1" applyBorder="1" applyAlignment="1">
      <alignment horizontal="center"/>
    </xf>
    <xf numFmtId="165" fontId="35" fillId="0" borderId="4" xfId="0" applyNumberFormat="1" applyFont="1" applyBorder="1" applyAlignment="1">
      <alignment horizontal="center"/>
    </xf>
    <xf numFmtId="165" fontId="35" fillId="0" borderId="2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65" fontId="35" fillId="0" borderId="5" xfId="0" applyNumberFormat="1" applyFont="1" applyBorder="1" applyAlignment="1">
      <alignment horizontal="center"/>
    </xf>
    <xf numFmtId="165" fontId="35" fillId="0" borderId="1" xfId="0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0" borderId="22" xfId="0" applyFont="1" applyBorder="1" applyAlignment="1">
      <alignment horizontal="center"/>
    </xf>
    <xf numFmtId="165" fontId="35" fillId="0" borderId="6" xfId="0" applyNumberFormat="1" applyFont="1" applyBorder="1" applyAlignment="1">
      <alignment horizontal="center"/>
    </xf>
    <xf numFmtId="165" fontId="35" fillId="0" borderId="7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2" fontId="4" fillId="3" borderId="36" xfId="0" applyNumberFormat="1" applyFont="1" applyFill="1" applyBorder="1" applyAlignment="1">
      <alignment horizontal="center"/>
    </xf>
    <xf numFmtId="2" fontId="4" fillId="5" borderId="13" xfId="0" applyNumberFormat="1" applyFont="1" applyFill="1" applyBorder="1" applyAlignment="1">
      <alignment horizontal="center"/>
    </xf>
    <xf numFmtId="165" fontId="19" fillId="0" borderId="0" xfId="0" applyNumberFormat="1" applyFont="1" applyAlignment="1">
      <alignment horizontal="center"/>
    </xf>
    <xf numFmtId="0" fontId="0" fillId="0" borderId="37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8" xfId="0" applyBorder="1" applyAlignment="1">
      <alignment horizontal="center"/>
    </xf>
    <xf numFmtId="2" fontId="4" fillId="3" borderId="38" xfId="0" applyNumberFormat="1" applyFont="1" applyFill="1" applyBorder="1" applyAlignment="1">
      <alignment horizontal="center"/>
    </xf>
    <xf numFmtId="0" fontId="32" fillId="0" borderId="0" xfId="0" applyFont="1"/>
    <xf numFmtId="0" fontId="3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13" borderId="3" xfId="0" applyFont="1" applyFill="1" applyBorder="1" applyAlignment="1">
      <alignment horizontal="center"/>
    </xf>
    <xf numFmtId="14" fontId="13" fillId="0" borderId="0" xfId="0" applyNumberFormat="1" applyFont="1"/>
    <xf numFmtId="14" fontId="4" fillId="0" borderId="0" xfId="0" applyNumberFormat="1" applyFont="1"/>
    <xf numFmtId="0" fontId="4" fillId="0" borderId="4" xfId="0" applyFont="1" applyBorder="1" applyAlignment="1">
      <alignment horizontal="center"/>
    </xf>
    <xf numFmtId="0" fontId="4" fillId="0" borderId="2" xfId="0" applyFont="1" applyBorder="1"/>
    <xf numFmtId="2" fontId="4" fillId="0" borderId="0" xfId="0" applyNumberFormat="1" applyFont="1" applyAlignment="1">
      <alignment horizontal="center"/>
    </xf>
    <xf numFmtId="0" fontId="4" fillId="0" borderId="5" xfId="0" applyFont="1" applyBorder="1" applyAlignment="1">
      <alignment horizontal="center"/>
    </xf>
    <xf numFmtId="0" fontId="13" fillId="17" borderId="1" xfId="0" applyFont="1" applyFill="1" applyBorder="1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4" fillId="0" borderId="24" xfId="0" applyFont="1" applyBorder="1"/>
    <xf numFmtId="0" fontId="4" fillId="0" borderId="10" xfId="0" applyFont="1" applyBorder="1"/>
    <xf numFmtId="0" fontId="34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36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7" xfId="0" applyFont="1" applyBorder="1"/>
    <xf numFmtId="16" fontId="4" fillId="0" borderId="0" xfId="0" applyNumberFormat="1" applyFont="1" applyAlignment="1">
      <alignment horizontal="center"/>
    </xf>
    <xf numFmtId="0" fontId="13" fillId="15" borderId="1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3" fillId="18" borderId="1" xfId="0" applyFont="1" applyFill="1" applyBorder="1" applyAlignment="1">
      <alignment horizontal="center"/>
    </xf>
    <xf numFmtId="0" fontId="4" fillId="0" borderId="32" xfId="0" applyFont="1" applyBorder="1"/>
    <xf numFmtId="0" fontId="4" fillId="0" borderId="11" xfId="0" applyFont="1" applyBorder="1"/>
    <xf numFmtId="0" fontId="4" fillId="0" borderId="29" xfId="0" applyFont="1" applyBorder="1"/>
    <xf numFmtId="0" fontId="13" fillId="17" borderId="3" xfId="0" applyFont="1" applyFill="1" applyBorder="1" applyAlignment="1">
      <alignment horizontal="center"/>
    </xf>
    <xf numFmtId="0" fontId="13" fillId="19" borderId="3" xfId="0" applyFont="1" applyFill="1" applyBorder="1" applyAlignment="1">
      <alignment horizontal="center"/>
    </xf>
    <xf numFmtId="0" fontId="13" fillId="18" borderId="3" xfId="0" applyFont="1" applyFill="1" applyBorder="1" applyAlignment="1">
      <alignment horizontal="center"/>
    </xf>
    <xf numFmtId="0" fontId="13" fillId="15" borderId="3" xfId="0" applyFont="1" applyFill="1" applyBorder="1" applyAlignment="1">
      <alignment horizontal="center"/>
    </xf>
    <xf numFmtId="0" fontId="34" fillId="0" borderId="2" xfId="0" applyFont="1" applyBorder="1" applyAlignment="1">
      <alignment horizontal="center"/>
    </xf>
    <xf numFmtId="0" fontId="13" fillId="17" borderId="39" xfId="0" applyFont="1" applyFill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9" xfId="0" applyFont="1" applyBorder="1"/>
    <xf numFmtId="0" fontId="4" fillId="0" borderId="27" xfId="0" applyFont="1" applyBorder="1" applyAlignment="1">
      <alignment horizontal="center"/>
    </xf>
    <xf numFmtId="0" fontId="34" fillId="0" borderId="21" xfId="0" applyFont="1" applyBorder="1" applyAlignment="1">
      <alignment horizontal="center"/>
    </xf>
    <xf numFmtId="0" fontId="4" fillId="0" borderId="21" xfId="0" applyFont="1" applyBorder="1"/>
    <xf numFmtId="0" fontId="13" fillId="20" borderId="1" xfId="0" applyFont="1" applyFill="1" applyBorder="1" applyAlignment="1">
      <alignment horizontal="center"/>
    </xf>
    <xf numFmtId="0" fontId="13" fillId="19" borderId="1" xfId="0" applyFont="1" applyFill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20" fillId="0" borderId="2" xfId="0" applyFont="1" applyBorder="1"/>
    <xf numFmtId="0" fontId="20" fillId="0" borderId="1" xfId="0" applyFont="1" applyBorder="1"/>
    <xf numFmtId="0" fontId="20" fillId="0" borderId="5" xfId="0" applyFont="1" applyBorder="1" applyAlignment="1">
      <alignment horizontal="center"/>
    </xf>
    <xf numFmtId="0" fontId="20" fillId="0" borderId="6" xfId="0" applyFont="1" applyBorder="1" applyAlignment="1">
      <alignment horizontal="center"/>
    </xf>
    <xf numFmtId="0" fontId="20" fillId="0" borderId="7" xfId="0" applyFont="1" applyBorder="1"/>
    <xf numFmtId="0" fontId="20" fillId="0" borderId="4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20" fillId="0" borderId="9" xfId="0" applyFont="1" applyBorder="1"/>
    <xf numFmtId="0" fontId="20" fillId="0" borderId="7" xfId="0" applyFont="1" applyBorder="1" applyAlignment="1">
      <alignment horizontal="center"/>
    </xf>
    <xf numFmtId="0" fontId="4" fillId="0" borderId="12" xfId="0" applyFont="1" applyBorder="1"/>
    <xf numFmtId="0" fontId="13" fillId="13" borderId="1" xfId="0" applyFont="1" applyFill="1" applyBorder="1" applyAlignment="1">
      <alignment horizontal="center"/>
    </xf>
    <xf numFmtId="0" fontId="20" fillId="0" borderId="10" xfId="0" applyFont="1" applyBorder="1"/>
    <xf numFmtId="0" fontId="20" fillId="0" borderId="11" xfId="0" applyFont="1" applyBorder="1"/>
    <xf numFmtId="0" fontId="20" fillId="0" borderId="12" xfId="0" applyFont="1" applyBorder="1"/>
    <xf numFmtId="0" fontId="4" fillId="0" borderId="10" xfId="0" applyFont="1" applyBorder="1" applyAlignment="1">
      <alignment horizontal="center" vertical="center"/>
    </xf>
    <xf numFmtId="0" fontId="20" fillId="0" borderId="0" xfId="0" applyFont="1"/>
    <xf numFmtId="0" fontId="4" fillId="0" borderId="0" xfId="0" applyFont="1" applyAlignment="1">
      <alignment horizontal="center" vertical="center"/>
    </xf>
    <xf numFmtId="0" fontId="13" fillId="20" borderId="3" xfId="0" applyFont="1" applyFill="1" applyBorder="1" applyAlignment="1">
      <alignment horizontal="center"/>
    </xf>
    <xf numFmtId="0" fontId="0" fillId="7" borderId="13" xfId="0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23" fillId="0" borderId="0" xfId="0" applyFont="1" applyAlignment="1">
      <alignment horizontal="center"/>
    </xf>
    <xf numFmtId="22" fontId="0" fillId="0" borderId="0" xfId="0" quotePrefix="1" applyNumberFormat="1" applyAlignment="1">
      <alignment horizontal="right"/>
    </xf>
    <xf numFmtId="0" fontId="6" fillId="21" borderId="4" xfId="0" quotePrefix="1" applyFont="1" applyFill="1" applyBorder="1" applyAlignment="1">
      <alignment horizontal="right"/>
    </xf>
    <xf numFmtId="0" fontId="6" fillId="0" borderId="5" xfId="0" applyFont="1" applyBorder="1" applyAlignment="1">
      <alignment horizontal="right"/>
    </xf>
    <xf numFmtId="0" fontId="16" fillId="21" borderId="5" xfId="0" quotePrefix="1" applyFont="1" applyFill="1" applyBorder="1" applyAlignment="1">
      <alignment horizontal="right"/>
    </xf>
    <xf numFmtId="2" fontId="6" fillId="0" borderId="0" xfId="0" applyNumberFormat="1" applyFont="1" applyAlignment="1">
      <alignment horizontal="center" vertical="top"/>
    </xf>
    <xf numFmtId="0" fontId="6" fillId="21" borderId="5" xfId="0" quotePrefix="1" applyFont="1" applyFill="1" applyBorder="1" applyAlignment="1">
      <alignment horizontal="right"/>
    </xf>
    <xf numFmtId="2" fontId="6" fillId="0" borderId="0" xfId="0" applyNumberFormat="1" applyFont="1"/>
    <xf numFmtId="0" fontId="6" fillId="21" borderId="5" xfId="0" applyFont="1" applyFill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17" borderId="4" xfId="0" applyFont="1" applyFill="1" applyBorder="1" applyAlignment="1">
      <alignment horizontal="right"/>
    </xf>
    <xf numFmtId="0" fontId="6" fillId="17" borderId="5" xfId="0" applyFont="1" applyFill="1" applyBorder="1" applyAlignment="1">
      <alignment horizontal="right"/>
    </xf>
    <xf numFmtId="0" fontId="6" fillId="0" borderId="6" xfId="0" applyFont="1" applyBorder="1" applyAlignment="1">
      <alignment horizontal="right"/>
    </xf>
    <xf numFmtId="0" fontId="6" fillId="19" borderId="4" xfId="0" applyFont="1" applyFill="1" applyBorder="1" applyAlignment="1">
      <alignment horizontal="right"/>
    </xf>
    <xf numFmtId="0" fontId="6" fillId="19" borderId="5" xfId="0" applyFont="1" applyFill="1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6" fillId="15" borderId="4" xfId="0" applyFont="1" applyFill="1" applyBorder="1" applyAlignment="1">
      <alignment horizontal="right"/>
    </xf>
    <xf numFmtId="0" fontId="6" fillId="15" borderId="5" xfId="0" applyFont="1" applyFill="1" applyBorder="1" applyAlignment="1">
      <alignment horizontal="right"/>
    </xf>
    <xf numFmtId="0" fontId="21" fillId="0" borderId="0" xfId="0" applyFont="1" applyAlignment="1">
      <alignment horizontal="left" vertical="top"/>
    </xf>
    <xf numFmtId="0" fontId="22" fillId="0" borderId="0" xfId="0" applyFont="1" applyAlignment="1">
      <alignment horizontal="left" vertical="top"/>
    </xf>
    <xf numFmtId="0" fontId="18" fillId="11" borderId="0" xfId="0" applyFont="1" applyFill="1" applyAlignment="1">
      <alignment horizontal="right" vertical="top"/>
    </xf>
    <xf numFmtId="0" fontId="18" fillId="11" borderId="0" xfId="0" applyFont="1" applyFill="1" applyAlignment="1">
      <alignment horizontal="center" vertical="top"/>
    </xf>
    <xf numFmtId="2" fontId="17" fillId="11" borderId="0" xfId="0" applyNumberFormat="1" applyFont="1" applyFill="1" applyAlignment="1">
      <alignment horizontal="center" vertical="top"/>
    </xf>
    <xf numFmtId="0" fontId="7" fillId="7" borderId="31" xfId="0" applyFont="1" applyFill="1" applyBorder="1" applyAlignment="1">
      <alignment horizontal="center"/>
    </xf>
    <xf numFmtId="0" fontId="7" fillId="7" borderId="32" xfId="0" applyFont="1" applyFill="1" applyBorder="1" applyAlignment="1">
      <alignment horizontal="center"/>
    </xf>
    <xf numFmtId="0" fontId="6" fillId="2" borderId="33" xfId="0" applyFont="1" applyFill="1" applyBorder="1" applyAlignment="1">
      <alignment horizontal="center"/>
    </xf>
    <xf numFmtId="2" fontId="0" fillId="0" borderId="4" xfId="0" applyNumberFormat="1" applyBorder="1" applyAlignment="1">
      <alignment horizontal="center" vertical="center"/>
    </xf>
    <xf numFmtId="2" fontId="0" fillId="0" borderId="24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0" fontId="6" fillId="6" borderId="33" xfId="0" applyFont="1" applyFill="1" applyBorder="1" applyAlignment="1">
      <alignment horizontal="center"/>
    </xf>
    <xf numFmtId="0" fontId="6" fillId="7" borderId="33" xfId="0" applyFont="1" applyFill="1" applyBorder="1" applyAlignment="1">
      <alignment horizontal="center"/>
    </xf>
    <xf numFmtId="0" fontId="6" fillId="22" borderId="33" xfId="0" applyFont="1" applyFill="1" applyBorder="1" applyAlignment="1">
      <alignment horizontal="center"/>
    </xf>
    <xf numFmtId="0" fontId="6" fillId="23" borderId="33" xfId="0" applyFont="1" applyFill="1" applyBorder="1" applyAlignment="1">
      <alignment horizontal="center"/>
    </xf>
    <xf numFmtId="2" fontId="0" fillId="0" borderId="6" xfId="0" applyNumberFormat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0" fontId="6" fillId="22" borderId="2" xfId="0" applyFont="1" applyFill="1" applyBorder="1" applyAlignment="1">
      <alignment horizontal="center"/>
    </xf>
    <xf numFmtId="0" fontId="0" fillId="22" borderId="1" xfId="0" applyFill="1" applyBorder="1" applyAlignment="1">
      <alignment horizontal="center"/>
    </xf>
    <xf numFmtId="0" fontId="6" fillId="22" borderId="1" xfId="0" applyFont="1" applyFill="1" applyBorder="1" applyAlignment="1">
      <alignment horizontal="center"/>
    </xf>
    <xf numFmtId="0" fontId="0" fillId="23" borderId="1" xfId="0" applyFill="1" applyBorder="1" applyAlignment="1">
      <alignment horizontal="center"/>
    </xf>
    <xf numFmtId="0" fontId="6" fillId="23" borderId="1" xfId="0" applyFont="1" applyFill="1" applyBorder="1" applyAlignment="1">
      <alignment horizontal="center"/>
    </xf>
    <xf numFmtId="0" fontId="0" fillId="0" borderId="27" xfId="0" applyBorder="1"/>
    <xf numFmtId="0" fontId="6" fillId="23" borderId="21" xfId="0" applyFont="1" applyFill="1" applyBorder="1" applyAlignment="1">
      <alignment horizontal="center"/>
    </xf>
    <xf numFmtId="0" fontId="17" fillId="0" borderId="0" xfId="1" applyFont="1" applyAlignment="1">
      <alignment horizontal="left" vertical="top"/>
    </xf>
    <xf numFmtId="0" fontId="17" fillId="0" borderId="0" xfId="1" applyFont="1" applyAlignment="1">
      <alignment horizontal="center" vertical="top"/>
    </xf>
    <xf numFmtId="0" fontId="7" fillId="0" borderId="0" xfId="1" applyFont="1" applyAlignment="1">
      <alignment horizontal="center"/>
    </xf>
    <xf numFmtId="166" fontId="6" fillId="0" borderId="0" xfId="1" applyNumberFormat="1" applyAlignment="1">
      <alignment horizontal="center"/>
    </xf>
    <xf numFmtId="2" fontId="7" fillId="0" borderId="0" xfId="1" applyNumberFormat="1" applyFont="1" applyAlignment="1">
      <alignment horizontal="center"/>
    </xf>
    <xf numFmtId="0" fontId="7" fillId="0" borderId="0" xfId="1" applyFont="1"/>
    <xf numFmtId="2" fontId="13" fillId="0" borderId="0" xfId="1" applyNumberFormat="1" applyFont="1" applyAlignment="1">
      <alignment horizontal="center"/>
    </xf>
    <xf numFmtId="2" fontId="6" fillId="0" borderId="0" xfId="1" applyNumberFormat="1" applyAlignment="1">
      <alignment horizontal="center"/>
    </xf>
    <xf numFmtId="0" fontId="23" fillId="0" borderId="0" xfId="1" applyFont="1"/>
    <xf numFmtId="2" fontId="17" fillId="0" borderId="0" xfId="1" applyNumberFormat="1" applyFont="1" applyAlignment="1">
      <alignment horizontal="center" vertical="top"/>
    </xf>
    <xf numFmtId="0" fontId="21" fillId="0" borderId="0" xfId="1" applyFont="1" applyAlignment="1">
      <alignment horizontal="left" vertical="top"/>
    </xf>
    <xf numFmtId="0" fontId="22" fillId="0" borderId="0" xfId="1" applyFont="1" applyAlignment="1">
      <alignment horizontal="left" vertical="top"/>
    </xf>
    <xf numFmtId="0" fontId="6" fillId="24" borderId="0" xfId="1" applyFill="1"/>
    <xf numFmtId="0" fontId="18" fillId="7" borderId="1" xfId="1" applyFont="1" applyFill="1" applyBorder="1" applyAlignment="1">
      <alignment horizontal="right" vertical="top"/>
    </xf>
    <xf numFmtId="0" fontId="18" fillId="7" borderId="1" xfId="1" applyFont="1" applyFill="1" applyBorder="1" applyAlignment="1">
      <alignment horizontal="center" vertical="top"/>
    </xf>
    <xf numFmtId="2" fontId="17" fillId="7" borderId="1" xfId="1" applyNumberFormat="1" applyFont="1" applyFill="1" applyBorder="1" applyAlignment="1">
      <alignment horizontal="center" vertical="top"/>
    </xf>
    <xf numFmtId="0" fontId="6" fillId="0" borderId="0" xfId="1"/>
    <xf numFmtId="0" fontId="6" fillId="0" borderId="0" xfId="1" applyAlignment="1">
      <alignment horizontal="center"/>
    </xf>
    <xf numFmtId="0" fontId="18" fillId="0" borderId="0" xfId="1" applyFont="1" applyAlignment="1">
      <alignment horizontal="center" vertical="center"/>
    </xf>
    <xf numFmtId="0" fontId="6" fillId="0" borderId="0" xfId="1" applyAlignment="1">
      <alignment horizontal="center" vertical="center" wrapText="1"/>
    </xf>
    <xf numFmtId="0" fontId="6" fillId="0" borderId="0" xfId="1" applyAlignment="1">
      <alignment horizontal="center" vertical="center"/>
    </xf>
    <xf numFmtId="0" fontId="6" fillId="0" borderId="0" xfId="1" applyAlignment="1">
      <alignment vertical="center" wrapText="1"/>
    </xf>
    <xf numFmtId="0" fontId="23" fillId="0" borderId="0" xfId="1" applyFont="1" applyAlignment="1">
      <alignment horizontal="center"/>
    </xf>
    <xf numFmtId="2" fontId="6" fillId="0" borderId="0" xfId="1" quotePrefix="1" applyNumberFormat="1" applyAlignment="1">
      <alignment horizontal="center"/>
    </xf>
    <xf numFmtId="0" fontId="18" fillId="0" borderId="0" xfId="1" applyFont="1" applyAlignment="1">
      <alignment horizontal="right" vertical="center"/>
    </xf>
    <xf numFmtId="2" fontId="4" fillId="0" borderId="0" xfId="1" applyNumberFormat="1" applyFont="1" applyAlignment="1">
      <alignment horizontal="center"/>
    </xf>
    <xf numFmtId="2" fontId="23" fillId="0" borderId="0" xfId="1" applyNumberFormat="1" applyFont="1" applyAlignment="1">
      <alignment horizontal="center"/>
    </xf>
    <xf numFmtId="2" fontId="27" fillId="0" borderId="0" xfId="1" quotePrefix="1" applyNumberFormat="1" applyFont="1" applyAlignment="1">
      <alignment horizontal="center"/>
    </xf>
    <xf numFmtId="0" fontId="37" fillId="0" borderId="0" xfId="1" applyFont="1" applyAlignment="1">
      <alignment vertical="center" wrapText="1"/>
    </xf>
    <xf numFmtId="0" fontId="6" fillId="20" borderId="1" xfId="1" applyFill="1" applyBorder="1" applyAlignment="1">
      <alignment horizontal="right" vertical="center" wrapText="1"/>
    </xf>
    <xf numFmtId="0" fontId="14" fillId="20" borderId="4" xfId="1" applyFont="1" applyFill="1" applyBorder="1" applyAlignment="1">
      <alignment horizontal="center" vertical="center" wrapText="1"/>
    </xf>
    <xf numFmtId="0" fontId="6" fillId="20" borderId="2" xfId="1" applyFill="1" applyBorder="1" applyAlignment="1">
      <alignment horizontal="right" vertical="center" wrapText="1"/>
    </xf>
    <xf numFmtId="0" fontId="14" fillId="20" borderId="5" xfId="1" applyFont="1" applyFill="1" applyBorder="1" applyAlignment="1">
      <alignment horizontal="center" vertical="center" wrapText="1"/>
    </xf>
    <xf numFmtId="0" fontId="6" fillId="7" borderId="1" xfId="1" applyFill="1" applyBorder="1" applyAlignment="1">
      <alignment horizontal="right" vertical="center" wrapText="1"/>
    </xf>
    <xf numFmtId="0" fontId="14" fillId="7" borderId="4" xfId="1" applyFont="1" applyFill="1" applyBorder="1" applyAlignment="1">
      <alignment horizontal="center" vertical="center" wrapText="1"/>
    </xf>
    <xf numFmtId="0" fontId="6" fillId="7" borderId="2" xfId="1" applyFill="1" applyBorder="1" applyAlignment="1">
      <alignment horizontal="right" vertical="center" wrapText="1"/>
    </xf>
    <xf numFmtId="0" fontId="14" fillId="7" borderId="5" xfId="1" applyFont="1" applyFill="1" applyBorder="1" applyAlignment="1">
      <alignment horizontal="center" vertical="center" wrapText="1"/>
    </xf>
    <xf numFmtId="0" fontId="6" fillId="12" borderId="18" xfId="1" applyFill="1" applyBorder="1" applyAlignment="1">
      <alignment horizontal="center" vertical="center"/>
    </xf>
    <xf numFmtId="2" fontId="6" fillId="12" borderId="1" xfId="1" quotePrefix="1" applyNumberFormat="1" applyFill="1" applyBorder="1" applyAlignment="1">
      <alignment horizontal="center"/>
    </xf>
    <xf numFmtId="0" fontId="6" fillId="12" borderId="1" xfId="1" applyFill="1" applyBorder="1" applyAlignment="1">
      <alignment horizontal="right" vertical="center" wrapText="1"/>
    </xf>
    <xf numFmtId="0" fontId="16" fillId="12" borderId="5" xfId="1" applyFont="1" applyFill="1" applyBorder="1" applyAlignment="1">
      <alignment horizontal="right"/>
    </xf>
    <xf numFmtId="0" fontId="14" fillId="12" borderId="5" xfId="1" applyFont="1" applyFill="1" applyBorder="1" applyAlignment="1">
      <alignment horizontal="center" vertical="center" wrapText="1"/>
    </xf>
    <xf numFmtId="0" fontId="6" fillId="12" borderId="5" xfId="1" applyFill="1" applyBorder="1" applyAlignment="1">
      <alignment horizontal="right"/>
    </xf>
    <xf numFmtId="0" fontId="6" fillId="12" borderId="5" xfId="1" applyFill="1" applyBorder="1"/>
    <xf numFmtId="0" fontId="6" fillId="12" borderId="6" xfId="1" applyFill="1" applyBorder="1" applyAlignment="1">
      <alignment horizontal="right"/>
    </xf>
    <xf numFmtId="0" fontId="6" fillId="12" borderId="7" xfId="1" applyFill="1" applyBorder="1" applyAlignment="1">
      <alignment horizontal="right" vertical="center" wrapText="1"/>
    </xf>
    <xf numFmtId="2" fontId="6" fillId="0" borderId="1" xfId="0" applyNumberFormat="1" applyFont="1" applyBorder="1"/>
    <xf numFmtId="2" fontId="0" fillId="25" borderId="18" xfId="0" applyNumberFormat="1" applyFill="1" applyBorder="1" applyAlignment="1">
      <alignment horizontal="center" vertical="center"/>
    </xf>
    <xf numFmtId="2" fontId="6" fillId="0" borderId="10" xfId="0" applyNumberFormat="1" applyFont="1" applyBorder="1"/>
    <xf numFmtId="2" fontId="6" fillId="0" borderId="7" xfId="0" applyNumberFormat="1" applyFont="1" applyBorder="1"/>
    <xf numFmtId="2" fontId="6" fillId="0" borderId="11" xfId="0" applyNumberFormat="1" applyFont="1" applyBorder="1"/>
    <xf numFmtId="2" fontId="6" fillId="0" borderId="18" xfId="0" applyNumberFormat="1" applyFont="1" applyBorder="1"/>
    <xf numFmtId="2" fontId="6" fillId="0" borderId="23" xfId="0" applyNumberFormat="1" applyFont="1" applyBorder="1"/>
    <xf numFmtId="165" fontId="6" fillId="0" borderId="41" xfId="0" applyNumberFormat="1" applyFont="1" applyBorder="1"/>
    <xf numFmtId="165" fontId="6" fillId="0" borderId="42" xfId="0" applyNumberFormat="1" applyFont="1" applyBorder="1"/>
    <xf numFmtId="165" fontId="6" fillId="0" borderId="43" xfId="0" applyNumberFormat="1" applyFont="1" applyBorder="1"/>
    <xf numFmtId="2" fontId="6" fillId="0" borderId="20" xfId="0" applyNumberFormat="1" applyFont="1" applyBorder="1"/>
    <xf numFmtId="2" fontId="6" fillId="0" borderId="21" xfId="0" applyNumberFormat="1" applyFont="1" applyBorder="1"/>
    <xf numFmtId="2" fontId="0" fillId="25" borderId="20" xfId="0" applyNumberFormat="1" applyFill="1" applyBorder="1" applyAlignment="1">
      <alignment horizontal="center" vertical="center"/>
    </xf>
    <xf numFmtId="2" fontId="6" fillId="0" borderId="25" xfId="0" applyNumberFormat="1" applyFont="1" applyBorder="1"/>
    <xf numFmtId="165" fontId="6" fillId="0" borderId="0" xfId="0" applyNumberFormat="1" applyFont="1"/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165" fontId="6" fillId="0" borderId="41" xfId="0" applyNumberFormat="1" applyFont="1" applyBorder="1" applyAlignment="1">
      <alignment horizontal="center" vertical="center"/>
    </xf>
    <xf numFmtId="165" fontId="6" fillId="0" borderId="42" xfId="0" applyNumberFormat="1" applyFont="1" applyBorder="1" applyAlignment="1">
      <alignment horizontal="center" vertical="center"/>
    </xf>
    <xf numFmtId="165" fontId="6" fillId="0" borderId="17" xfId="0" applyNumberFormat="1" applyFont="1" applyBorder="1" applyAlignment="1">
      <alignment horizontal="center" vertical="center"/>
    </xf>
    <xf numFmtId="165" fontId="6" fillId="0" borderId="22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2" fontId="6" fillId="0" borderId="6" xfId="0" applyNumberFormat="1" applyFont="1" applyBorder="1" applyAlignment="1">
      <alignment horizontal="center" vertical="center"/>
    </xf>
    <xf numFmtId="2" fontId="6" fillId="0" borderId="7" xfId="0" applyNumberFormat="1" applyFont="1" applyBorder="1" applyAlignment="1">
      <alignment horizontal="center" vertical="center"/>
    </xf>
    <xf numFmtId="2" fontId="6" fillId="0" borderId="11" xfId="0" applyNumberFormat="1" applyFont="1" applyBorder="1" applyAlignment="1">
      <alignment horizontal="center" vertical="center"/>
    </xf>
    <xf numFmtId="2" fontId="0" fillId="25" borderId="44" xfId="0" applyNumberFormat="1" applyFill="1" applyBorder="1" applyAlignment="1">
      <alignment horizontal="center" vertical="center"/>
    </xf>
    <xf numFmtId="2" fontId="0" fillId="25" borderId="41" xfId="0" applyNumberFormat="1" applyFill="1" applyBorder="1" applyAlignment="1">
      <alignment horizontal="center" vertical="center"/>
    </xf>
    <xf numFmtId="2" fontId="0" fillId="25" borderId="42" xfId="0" applyNumberFormat="1" applyFill="1" applyBorder="1" applyAlignment="1">
      <alignment horizontal="center" vertical="center"/>
    </xf>
    <xf numFmtId="165" fontId="6" fillId="0" borderId="19" xfId="0" applyNumberFormat="1" applyFont="1" applyBorder="1" applyAlignment="1">
      <alignment horizontal="center" vertical="center"/>
    </xf>
    <xf numFmtId="2" fontId="6" fillId="0" borderId="27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2" fontId="6" fillId="0" borderId="25" xfId="0" applyNumberFormat="1" applyFont="1" applyBorder="1" applyAlignment="1">
      <alignment horizontal="center" vertical="center"/>
    </xf>
    <xf numFmtId="2" fontId="0" fillId="25" borderId="43" xfId="0" applyNumberFormat="1" applyFill="1" applyBorder="1" applyAlignment="1">
      <alignment horizontal="center" vertical="center"/>
    </xf>
    <xf numFmtId="0" fontId="0" fillId="7" borderId="3" xfId="0" applyFill="1" applyBorder="1" applyAlignment="1">
      <alignment horizontal="center"/>
    </xf>
    <xf numFmtId="0" fontId="6" fillId="7" borderId="3" xfId="0" applyFont="1" applyFill="1" applyBorder="1" applyAlignment="1">
      <alignment horizontal="center" vertical="center"/>
    </xf>
    <xf numFmtId="0" fontId="6" fillId="7" borderId="39" xfId="0" applyFont="1" applyFill="1" applyBorder="1" applyAlignment="1">
      <alignment horizontal="center" vertical="center"/>
    </xf>
    <xf numFmtId="0" fontId="0" fillId="7" borderId="35" xfId="0" applyFill="1" applyBorder="1" applyAlignment="1">
      <alignment horizontal="center"/>
    </xf>
    <xf numFmtId="2" fontId="0" fillId="25" borderId="45" xfId="0" applyNumberFormat="1" applyFill="1" applyBorder="1" applyAlignment="1">
      <alignment horizontal="center" vertical="center"/>
    </xf>
    <xf numFmtId="2" fontId="0" fillId="25" borderId="46" xfId="0" applyNumberFormat="1" applyFill="1" applyBorder="1" applyAlignment="1">
      <alignment horizontal="center" vertical="center"/>
    </xf>
    <xf numFmtId="2" fontId="0" fillId="25" borderId="47" xfId="0" applyNumberForma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2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6" fillId="7" borderId="31" xfId="0" applyFont="1" applyFill="1" applyBorder="1" applyAlignment="1">
      <alignment horizontal="center"/>
    </xf>
    <xf numFmtId="0" fontId="6" fillId="7" borderId="32" xfId="0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7" fillId="17" borderId="33" xfId="0" applyFont="1" applyFill="1" applyBorder="1" applyAlignment="1">
      <alignment horizontal="center"/>
    </xf>
    <xf numFmtId="0" fontId="7" fillId="8" borderId="33" xfId="0" applyFont="1" applyFill="1" applyBorder="1" applyAlignment="1">
      <alignment horizontal="center"/>
    </xf>
    <xf numFmtId="0" fontId="7" fillId="13" borderId="33" xfId="0" applyFont="1" applyFill="1" applyBorder="1" applyAlignment="1">
      <alignment horizontal="center"/>
    </xf>
    <xf numFmtId="0" fontId="6" fillId="17" borderId="1" xfId="0" applyFont="1" applyFill="1" applyBorder="1" applyAlignment="1">
      <alignment horizontal="center"/>
    </xf>
    <xf numFmtId="0" fontId="7" fillId="17" borderId="1" xfId="0" applyFont="1" applyFill="1" applyBorder="1" applyAlignment="1">
      <alignment horizontal="center"/>
    </xf>
    <xf numFmtId="0" fontId="7" fillId="8" borderId="2" xfId="0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6" fillId="0" borderId="5" xfId="0" applyFont="1" applyBorder="1"/>
    <xf numFmtId="0" fontId="7" fillId="8" borderId="1" xfId="0" applyFont="1" applyFill="1" applyBorder="1" applyAlignment="1">
      <alignment horizontal="center"/>
    </xf>
    <xf numFmtId="0" fontId="7" fillId="13" borderId="2" xfId="0" applyFont="1" applyFill="1" applyBorder="1" applyAlignment="1">
      <alignment horizontal="center"/>
    </xf>
    <xf numFmtId="0" fontId="6" fillId="13" borderId="1" xfId="0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13" borderId="7" xfId="0" applyFont="1" applyFill="1" applyBorder="1" applyAlignment="1">
      <alignment horizontal="center"/>
    </xf>
    <xf numFmtId="0" fontId="0" fillId="0" borderId="48" xfId="0" applyBorder="1"/>
    <xf numFmtId="0" fontId="0" fillId="0" borderId="49" xfId="0" applyBorder="1" applyAlignment="1">
      <alignment horizontal="center"/>
    </xf>
    <xf numFmtId="0" fontId="0" fillId="0" borderId="49" xfId="0" applyBorder="1"/>
    <xf numFmtId="0" fontId="0" fillId="0" borderId="50" xfId="0" applyBorder="1"/>
    <xf numFmtId="0" fontId="7" fillId="17" borderId="21" xfId="0" applyFont="1" applyFill="1" applyBorder="1" applyAlignment="1">
      <alignment horizontal="center"/>
    </xf>
    <xf numFmtId="165" fontId="32" fillId="0" borderId="0" xfId="0" applyNumberFormat="1" applyFont="1" applyAlignment="1">
      <alignment horizontal="center"/>
    </xf>
    <xf numFmtId="165" fontId="34" fillId="0" borderId="0" xfId="0" applyNumberFormat="1" applyFont="1" applyAlignment="1">
      <alignment horizontal="center"/>
    </xf>
    <xf numFmtId="165" fontId="7" fillId="0" borderId="0" xfId="1" applyNumberFormat="1" applyFont="1" applyAlignment="1">
      <alignment horizontal="center"/>
    </xf>
    <xf numFmtId="165" fontId="6" fillId="0" borderId="0" xfId="1" applyNumberFormat="1" applyAlignment="1">
      <alignment horizontal="center"/>
    </xf>
    <xf numFmtId="14" fontId="28" fillId="0" borderId="0" xfId="1" applyNumberFormat="1" applyFont="1" applyAlignment="1">
      <alignment horizontal="center"/>
    </xf>
    <xf numFmtId="14" fontId="38" fillId="0" borderId="0" xfId="1" applyNumberFormat="1" applyFont="1" applyAlignment="1">
      <alignment horizontal="center"/>
    </xf>
    <xf numFmtId="0" fontId="33" fillId="0" borderId="0" xfId="0" applyFont="1"/>
    <xf numFmtId="0" fontId="7" fillId="3" borderId="3" xfId="1" applyFont="1" applyFill="1" applyBorder="1" applyAlignment="1">
      <alignment horizontal="center"/>
    </xf>
    <xf numFmtId="0" fontId="39" fillId="0" borderId="0" xfId="1" applyFont="1" applyAlignment="1">
      <alignment horizontal="center"/>
    </xf>
    <xf numFmtId="0" fontId="29" fillId="0" borderId="0" xfId="1" applyFont="1" applyAlignment="1">
      <alignment horizontal="center"/>
    </xf>
    <xf numFmtId="0" fontId="39" fillId="0" borderId="0" xfId="1" applyFont="1"/>
    <xf numFmtId="0" fontId="32" fillId="0" borderId="44" xfId="0" applyFont="1" applyBorder="1" applyAlignment="1">
      <alignment horizontal="center"/>
    </xf>
    <xf numFmtId="0" fontId="7" fillId="0" borderId="15" xfId="1" applyFont="1" applyBorder="1" applyAlignment="1">
      <alignment horizontal="center"/>
    </xf>
    <xf numFmtId="165" fontId="40" fillId="0" borderId="4" xfId="0" applyNumberFormat="1" applyFont="1" applyBorder="1" applyAlignment="1">
      <alignment horizontal="center"/>
    </xf>
    <xf numFmtId="165" fontId="40" fillId="0" borderId="2" xfId="0" applyNumberFormat="1" applyFont="1" applyBorder="1" applyAlignment="1">
      <alignment horizontal="center"/>
    </xf>
    <xf numFmtId="165" fontId="41" fillId="0" borderId="0" xfId="0" applyNumberFormat="1" applyFont="1" applyAlignment="1">
      <alignment horizontal="center"/>
    </xf>
    <xf numFmtId="0" fontId="32" fillId="0" borderId="41" xfId="0" applyFont="1" applyBorder="1" applyAlignment="1">
      <alignment horizontal="center"/>
    </xf>
    <xf numFmtId="0" fontId="7" fillId="0" borderId="17" xfId="1" applyFont="1" applyBorder="1" applyAlignment="1">
      <alignment horizontal="center"/>
    </xf>
    <xf numFmtId="165" fontId="40" fillId="0" borderId="5" xfId="0" applyNumberFormat="1" applyFont="1" applyBorder="1" applyAlignment="1">
      <alignment horizontal="center"/>
    </xf>
    <xf numFmtId="165" fontId="40" fillId="0" borderId="1" xfId="0" applyNumberFormat="1" applyFont="1" applyBorder="1" applyAlignment="1">
      <alignment horizontal="center"/>
    </xf>
    <xf numFmtId="0" fontId="32" fillId="0" borderId="42" xfId="0" applyFont="1" applyBorder="1" applyAlignment="1">
      <alignment horizontal="center"/>
    </xf>
    <xf numFmtId="0" fontId="7" fillId="0" borderId="51" xfId="1" applyFont="1" applyBorder="1" applyAlignment="1">
      <alignment horizontal="center"/>
    </xf>
    <xf numFmtId="2" fontId="6" fillId="3" borderId="4" xfId="0" applyNumberFormat="1" applyFont="1" applyFill="1" applyBorder="1" applyAlignment="1">
      <alignment horizontal="center"/>
    </xf>
    <xf numFmtId="2" fontId="6" fillId="3" borderId="2" xfId="0" applyNumberFormat="1" applyFont="1" applyFill="1" applyBorder="1" applyAlignment="1">
      <alignment horizontal="center"/>
    </xf>
    <xf numFmtId="2" fontId="6" fillId="3" borderId="24" xfId="0" applyNumberFormat="1" applyFont="1" applyFill="1" applyBorder="1" applyAlignment="1">
      <alignment horizontal="center"/>
    </xf>
    <xf numFmtId="2" fontId="42" fillId="0" borderId="0" xfId="0" applyNumberFormat="1" applyFont="1" applyAlignment="1">
      <alignment horizontal="center"/>
    </xf>
    <xf numFmtId="2" fontId="6" fillId="5" borderId="6" xfId="0" applyNumberFormat="1" applyFont="1" applyFill="1" applyBorder="1" applyAlignment="1">
      <alignment horizontal="center"/>
    </xf>
    <xf numFmtId="2" fontId="6" fillId="5" borderId="7" xfId="0" applyNumberFormat="1" applyFont="1" applyFill="1" applyBorder="1" applyAlignment="1">
      <alignment horizontal="center"/>
    </xf>
    <xf numFmtId="2" fontId="6" fillId="5" borderId="11" xfId="0" applyNumberFormat="1" applyFont="1" applyFill="1" applyBorder="1" applyAlignment="1">
      <alignment horizontal="center"/>
    </xf>
    <xf numFmtId="0" fontId="41" fillId="0" borderId="0" xfId="1" applyFont="1"/>
    <xf numFmtId="2" fontId="41" fillId="0" borderId="0" xfId="0" applyNumberFormat="1" applyFont="1" applyAlignment="1">
      <alignment horizontal="center"/>
    </xf>
    <xf numFmtId="0" fontId="41" fillId="0" borderId="0" xfId="1" applyFont="1" applyAlignment="1">
      <alignment horizontal="center"/>
    </xf>
    <xf numFmtId="165" fontId="41" fillId="0" borderId="0" xfId="1" applyNumberFormat="1" applyFont="1" applyAlignment="1">
      <alignment horizontal="center"/>
    </xf>
    <xf numFmtId="165" fontId="40" fillId="0" borderId="16" xfId="0" applyNumberFormat="1" applyFont="1" applyBorder="1" applyAlignment="1">
      <alignment horizontal="center"/>
    </xf>
    <xf numFmtId="165" fontId="40" fillId="0" borderId="18" xfId="0" applyNumberFormat="1" applyFont="1" applyBorder="1" applyAlignment="1">
      <alignment horizontal="center"/>
    </xf>
    <xf numFmtId="2" fontId="19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13" fillId="26" borderId="3" xfId="1" applyFont="1" applyFill="1" applyBorder="1" applyAlignment="1">
      <alignment horizontal="center"/>
    </xf>
    <xf numFmtId="0" fontId="32" fillId="0" borderId="34" xfId="0" applyFont="1" applyBorder="1" applyAlignment="1">
      <alignment horizontal="center"/>
    </xf>
    <xf numFmtId="0" fontId="7" fillId="3" borderId="35" xfId="1" applyFont="1" applyFill="1" applyBorder="1" applyAlignment="1">
      <alignment horizontal="center"/>
    </xf>
    <xf numFmtId="0" fontId="32" fillId="0" borderId="15" xfId="0" applyFont="1" applyBorder="1" applyAlignment="1">
      <alignment horizontal="center"/>
    </xf>
    <xf numFmtId="0" fontId="32" fillId="0" borderId="17" xfId="0" applyFont="1" applyBorder="1" applyAlignment="1">
      <alignment horizontal="center"/>
    </xf>
    <xf numFmtId="0" fontId="32" fillId="0" borderId="22" xfId="0" applyFont="1" applyBorder="1" applyAlignment="1">
      <alignment horizontal="center"/>
    </xf>
    <xf numFmtId="0" fontId="7" fillId="0" borderId="45" xfId="1" applyFont="1" applyBorder="1" applyAlignment="1">
      <alignment horizontal="center"/>
    </xf>
    <xf numFmtId="0" fontId="7" fillId="0" borderId="46" xfId="1" applyFont="1" applyBorder="1" applyAlignment="1">
      <alignment horizontal="center"/>
    </xf>
    <xf numFmtId="49" fontId="32" fillId="0" borderId="44" xfId="0" applyNumberFormat="1" applyFont="1" applyBorder="1" applyAlignment="1">
      <alignment horizontal="center"/>
    </xf>
    <xf numFmtId="49" fontId="32" fillId="0" borderId="41" xfId="0" applyNumberFormat="1" applyFont="1" applyBorder="1" applyAlignment="1">
      <alignment horizontal="center"/>
    </xf>
    <xf numFmtId="49" fontId="32" fillId="0" borderId="42" xfId="0" applyNumberFormat="1" applyFont="1" applyBorder="1" applyAlignment="1">
      <alignment horizontal="center"/>
    </xf>
    <xf numFmtId="0" fontId="7" fillId="27" borderId="3" xfId="1" applyFont="1" applyFill="1" applyBorder="1" applyAlignment="1">
      <alignment horizontal="center"/>
    </xf>
    <xf numFmtId="0" fontId="7" fillId="27" borderId="3" xfId="1" applyFont="1" applyFill="1" applyBorder="1" applyAlignment="1">
      <alignment horizontal="center" vertical="center"/>
    </xf>
    <xf numFmtId="0" fontId="7" fillId="0" borderId="52" xfId="1" applyFont="1" applyBorder="1" applyAlignment="1">
      <alignment horizontal="center"/>
    </xf>
    <xf numFmtId="0" fontId="7" fillId="0" borderId="53" xfId="1" applyFont="1" applyBorder="1" applyAlignment="1">
      <alignment horizontal="center"/>
    </xf>
    <xf numFmtId="0" fontId="7" fillId="0" borderId="54" xfId="1" applyFont="1" applyBorder="1" applyAlignment="1">
      <alignment horizontal="center"/>
    </xf>
    <xf numFmtId="0" fontId="7" fillId="27" borderId="35" xfId="1" applyFont="1" applyFill="1" applyBorder="1" applyAlignment="1">
      <alignment horizontal="center" vertical="center"/>
    </xf>
    <xf numFmtId="0" fontId="29" fillId="4" borderId="4" xfId="1" applyFont="1" applyFill="1" applyBorder="1" applyAlignment="1">
      <alignment horizontal="center"/>
    </xf>
    <xf numFmtId="0" fontId="29" fillId="4" borderId="2" xfId="1" applyFont="1" applyFill="1" applyBorder="1" applyAlignment="1">
      <alignment horizontal="center"/>
    </xf>
    <xf numFmtId="0" fontId="29" fillId="4" borderId="37" xfId="1" applyFont="1" applyFill="1" applyBorder="1" applyAlignment="1">
      <alignment horizontal="center"/>
    </xf>
    <xf numFmtId="0" fontId="29" fillId="4" borderId="24" xfId="1" applyFont="1" applyFill="1" applyBorder="1" applyAlignment="1">
      <alignment horizontal="center"/>
    </xf>
    <xf numFmtId="165" fontId="40" fillId="0" borderId="24" xfId="0" applyNumberFormat="1" applyFont="1" applyBorder="1" applyAlignment="1">
      <alignment horizontal="center"/>
    </xf>
    <xf numFmtId="165" fontId="40" fillId="0" borderId="10" xfId="0" applyNumberFormat="1" applyFont="1" applyBorder="1" applyAlignment="1">
      <alignment horizontal="center"/>
    </xf>
    <xf numFmtId="165" fontId="40" fillId="0" borderId="6" xfId="0" applyNumberFormat="1" applyFont="1" applyBorder="1" applyAlignment="1">
      <alignment horizontal="center"/>
    </xf>
    <xf numFmtId="165" fontId="40" fillId="0" borderId="7" xfId="0" applyNumberFormat="1" applyFont="1" applyBorder="1" applyAlignment="1">
      <alignment horizontal="center"/>
    </xf>
    <xf numFmtId="165" fontId="40" fillId="0" borderId="11" xfId="0" applyNumberFormat="1" applyFont="1" applyBorder="1" applyAlignment="1">
      <alignment horizontal="center"/>
    </xf>
    <xf numFmtId="2" fontId="6" fillId="3" borderId="21" xfId="0" applyNumberFormat="1" applyFont="1" applyFill="1" applyBorder="1" applyAlignment="1">
      <alignment horizontal="center"/>
    </xf>
    <xf numFmtId="2" fontId="6" fillId="3" borderId="25" xfId="0" applyNumberFormat="1" applyFont="1" applyFill="1" applyBorder="1" applyAlignment="1">
      <alignment horizontal="center"/>
    </xf>
    <xf numFmtId="165" fontId="42" fillId="0" borderId="1" xfId="0" applyNumberFormat="1" applyFont="1" applyBorder="1" applyAlignment="1">
      <alignment horizontal="center"/>
    </xf>
    <xf numFmtId="165" fontId="42" fillId="0" borderId="10" xfId="0" applyNumberFormat="1" applyFont="1" applyBorder="1" applyAlignment="1">
      <alignment horizontal="center"/>
    </xf>
    <xf numFmtId="0" fontId="29" fillId="4" borderId="13" xfId="1" applyFont="1" applyFill="1" applyBorder="1" applyAlignment="1">
      <alignment horizontal="center"/>
    </xf>
    <xf numFmtId="0" fontId="29" fillId="4" borderId="40" xfId="1" applyFont="1" applyFill="1" applyBorder="1" applyAlignment="1">
      <alignment horizontal="center"/>
    </xf>
    <xf numFmtId="0" fontId="29" fillId="4" borderId="55" xfId="1" applyFont="1" applyFill="1" applyBorder="1" applyAlignment="1">
      <alignment horizontal="center"/>
    </xf>
    <xf numFmtId="0" fontId="29" fillId="4" borderId="14" xfId="1" applyFont="1" applyFill="1" applyBorder="1" applyAlignment="1">
      <alignment horizontal="center"/>
    </xf>
    <xf numFmtId="165" fontId="40" fillId="0" borderId="23" xfId="0" applyNumberFormat="1" applyFont="1" applyBorder="1" applyAlignment="1">
      <alignment horizontal="center"/>
    </xf>
    <xf numFmtId="2" fontId="0" fillId="0" borderId="2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2" fontId="0" fillId="0" borderId="18" xfId="0" applyNumberFormat="1" applyBorder="1" applyAlignment="1">
      <alignment horizontal="center" vertical="center"/>
    </xf>
    <xf numFmtId="2" fontId="0" fillId="0" borderId="23" xfId="0" applyNumberFormat="1" applyBorder="1" applyAlignment="1">
      <alignment horizontal="center" vertical="center"/>
    </xf>
    <xf numFmtId="2" fontId="0" fillId="0" borderId="44" xfId="0" applyNumberFormat="1" applyBorder="1" applyAlignment="1">
      <alignment horizontal="center" vertical="center"/>
    </xf>
    <xf numFmtId="2" fontId="0" fillId="0" borderId="41" xfId="0" applyNumberFormat="1" applyBorder="1" applyAlignment="1">
      <alignment horizontal="center" vertical="center"/>
    </xf>
    <xf numFmtId="2" fontId="0" fillId="0" borderId="42" xfId="0" applyNumberFormat="1" applyBorder="1" applyAlignment="1">
      <alignment horizontal="center" vertical="center"/>
    </xf>
    <xf numFmtId="0" fontId="7" fillId="9" borderId="2" xfId="0" applyFont="1" applyFill="1" applyBorder="1"/>
    <xf numFmtId="0" fontId="7" fillId="9" borderId="1" xfId="0" applyFont="1" applyFill="1" applyBorder="1" applyAlignment="1">
      <alignment horizontal="center"/>
    </xf>
    <xf numFmtId="0" fontId="7" fillId="19" borderId="56" xfId="0" applyFont="1" applyFill="1" applyBorder="1" applyAlignment="1">
      <alignment horizontal="center" vertical="center"/>
    </xf>
    <xf numFmtId="0" fontId="7" fillId="19" borderId="57" xfId="0" applyFont="1" applyFill="1" applyBorder="1" applyAlignment="1">
      <alignment horizontal="center" vertical="center"/>
    </xf>
    <xf numFmtId="0" fontId="7" fillId="15" borderId="56" xfId="0" applyFont="1" applyFill="1" applyBorder="1" applyAlignment="1">
      <alignment horizontal="center" vertical="center"/>
    </xf>
    <xf numFmtId="0" fontId="7" fillId="15" borderId="32" xfId="0" applyFont="1" applyFill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/>
    </xf>
    <xf numFmtId="2" fontId="0" fillId="0" borderId="0" xfId="0" applyNumberFormat="1"/>
    <xf numFmtId="0" fontId="7" fillId="0" borderId="7" xfId="0" applyFont="1" applyBorder="1" applyAlignment="1">
      <alignment horizontal="center"/>
    </xf>
    <xf numFmtId="0" fontId="7" fillId="12" borderId="2" xfId="0" applyFont="1" applyFill="1" applyBorder="1" applyAlignment="1">
      <alignment horizontal="center"/>
    </xf>
    <xf numFmtId="0" fontId="7" fillId="13" borderId="21" xfId="0" applyFont="1" applyFill="1" applyBorder="1" applyAlignment="1">
      <alignment horizontal="center"/>
    </xf>
    <xf numFmtId="0" fontId="7" fillId="7" borderId="27" xfId="0" applyFont="1" applyFill="1" applyBorder="1" applyAlignment="1">
      <alignment horizontal="center"/>
    </xf>
    <xf numFmtId="0" fontId="7" fillId="7" borderId="5" xfId="0" applyFont="1" applyFill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11" borderId="21" xfId="0" applyFont="1" applyFill="1" applyBorder="1" applyAlignment="1">
      <alignment horizontal="center"/>
    </xf>
    <xf numFmtId="0" fontId="7" fillId="11" borderId="1" xfId="0" applyFont="1" applyFill="1" applyBorder="1" applyAlignment="1">
      <alignment horizontal="center"/>
    </xf>
    <xf numFmtId="0" fontId="7" fillId="28" borderId="21" xfId="0" applyFont="1" applyFill="1" applyBorder="1" applyAlignment="1">
      <alignment horizontal="center"/>
    </xf>
    <xf numFmtId="0" fontId="7" fillId="28" borderId="1" xfId="0" applyFont="1" applyFill="1" applyBorder="1" applyAlignment="1">
      <alignment horizontal="center"/>
    </xf>
    <xf numFmtId="0" fontId="7" fillId="29" borderId="21" xfId="0" applyFont="1" applyFill="1" applyBorder="1" applyAlignment="1">
      <alignment horizontal="center"/>
    </xf>
    <xf numFmtId="0" fontId="7" fillId="29" borderId="1" xfId="0" applyFont="1" applyFill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12" borderId="1" xfId="0" applyFont="1" applyFill="1" applyBorder="1" applyAlignment="1">
      <alignment horizontal="center"/>
    </xf>
    <xf numFmtId="2" fontId="0" fillId="0" borderId="12" xfId="0" applyNumberFormat="1" applyBorder="1" applyAlignment="1">
      <alignment horizontal="center" vertical="center"/>
    </xf>
    <xf numFmtId="2" fontId="0" fillId="0" borderId="25" xfId="0" applyNumberFormat="1" applyBorder="1" applyAlignment="1">
      <alignment horizontal="center" vertical="center"/>
    </xf>
    <xf numFmtId="0" fontId="7" fillId="19" borderId="13" xfId="0" applyFont="1" applyFill="1" applyBorder="1" applyAlignment="1">
      <alignment horizontal="center" vertical="center"/>
    </xf>
    <xf numFmtId="0" fontId="7" fillId="19" borderId="1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2" fontId="0" fillId="8" borderId="10" xfId="0" applyNumberFormat="1" applyFill="1" applyBorder="1" applyAlignment="1">
      <alignment horizontal="center" vertical="center"/>
    </xf>
    <xf numFmtId="2" fontId="0" fillId="8" borderId="24" xfId="0" applyNumberFormat="1" applyFill="1" applyBorder="1" applyAlignment="1">
      <alignment horizontal="center" vertical="center"/>
    </xf>
    <xf numFmtId="2" fontId="0" fillId="8" borderId="7" xfId="0" applyNumberFormat="1" applyFill="1" applyBorder="1" applyAlignment="1">
      <alignment horizontal="center" vertical="center"/>
    </xf>
    <xf numFmtId="2" fontId="0" fillId="8" borderId="11" xfId="0" applyNumberFormat="1" applyFill="1" applyBorder="1" applyAlignment="1">
      <alignment horizontal="center" vertical="center"/>
    </xf>
    <xf numFmtId="0" fontId="7" fillId="22" borderId="0" xfId="0" applyFont="1" applyFill="1"/>
    <xf numFmtId="0" fontId="0" fillId="24" borderId="0" xfId="0" applyFill="1"/>
    <xf numFmtId="0" fontId="21" fillId="7" borderId="1" xfId="0" applyFont="1" applyFill="1" applyBorder="1" applyAlignment="1">
      <alignment horizontal="center" vertical="top"/>
    </xf>
    <xf numFmtId="0" fontId="18" fillId="14" borderId="1" xfId="0" applyFont="1" applyFill="1" applyBorder="1" applyAlignment="1">
      <alignment horizontal="center" vertical="top"/>
    </xf>
    <xf numFmtId="0" fontId="18" fillId="0" borderId="1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/>
    </xf>
    <xf numFmtId="0" fontId="21" fillId="7" borderId="1" xfId="0" applyFont="1" applyFill="1" applyBorder="1" applyAlignment="1">
      <alignment horizontal="center" vertical="center"/>
    </xf>
    <xf numFmtId="2" fontId="18" fillId="14" borderId="1" xfId="0" applyNumberFormat="1" applyFont="1" applyFill="1" applyBorder="1" applyAlignment="1">
      <alignment horizontal="center" vertical="top"/>
    </xf>
    <xf numFmtId="0" fontId="4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/>
    </xf>
    <xf numFmtId="0" fontId="6" fillId="0" borderId="7" xfId="1" applyBorder="1" applyAlignment="1">
      <alignment horizontal="center"/>
    </xf>
    <xf numFmtId="0" fontId="4" fillId="22" borderId="1" xfId="0" applyFont="1" applyFill="1" applyBorder="1" applyAlignment="1">
      <alignment horizontal="center" vertical="center" wrapText="1"/>
    </xf>
    <xf numFmtId="0" fontId="6" fillId="22" borderId="0" xfId="0" applyFont="1" applyFill="1" applyAlignment="1">
      <alignment horizontal="center" vertical="center" wrapText="1"/>
    </xf>
    <xf numFmtId="0" fontId="0" fillId="22" borderId="0" xfId="0" applyFill="1" applyAlignment="1">
      <alignment horizontal="center" vertical="center" wrapText="1"/>
    </xf>
    <xf numFmtId="0" fontId="18" fillId="22" borderId="0" xfId="0" applyFont="1" applyFill="1" applyAlignment="1">
      <alignment horizontal="center" vertical="center"/>
    </xf>
    <xf numFmtId="0" fontId="18" fillId="22" borderId="0" xfId="0" applyFont="1" applyFill="1" applyAlignment="1">
      <alignment horizontal="right" vertical="center"/>
    </xf>
    <xf numFmtId="2" fontId="7" fillId="22" borderId="0" xfId="0" applyNumberFormat="1" applyFont="1" applyFill="1" applyAlignment="1">
      <alignment horizontal="center"/>
    </xf>
    <xf numFmtId="0" fontId="0" fillId="8" borderId="0" xfId="0" applyFill="1"/>
    <xf numFmtId="2" fontId="6" fillId="22" borderId="0" xfId="1" quotePrefix="1" applyNumberFormat="1" applyFill="1" applyAlignment="1">
      <alignment horizontal="left"/>
    </xf>
    <xf numFmtId="0" fontId="45" fillId="0" borderId="0" xfId="3" applyFill="1"/>
    <xf numFmtId="0" fontId="11" fillId="13" borderId="21" xfId="0" applyFont="1" applyFill="1" applyBorder="1" applyAlignment="1">
      <alignment horizontal="right"/>
    </xf>
    <xf numFmtId="165" fontId="0" fillId="8" borderId="24" xfId="0" applyNumberFormat="1" applyFill="1" applyBorder="1" applyAlignment="1">
      <alignment horizontal="center" vertical="center" wrapText="1"/>
    </xf>
    <xf numFmtId="165" fontId="0" fillId="8" borderId="10" xfId="0" applyNumberFormat="1" applyFill="1" applyBorder="1" applyAlignment="1">
      <alignment horizontal="center" vertical="center" wrapText="1"/>
    </xf>
    <xf numFmtId="0" fontId="0" fillId="14" borderId="0" xfId="0" applyFill="1"/>
    <xf numFmtId="2" fontId="11" fillId="15" borderId="0" xfId="0" applyNumberFormat="1" applyFont="1" applyFill="1" applyAlignment="1">
      <alignment horizontal="center" vertical="center" wrapText="1"/>
    </xf>
    <xf numFmtId="2" fontId="0" fillId="15" borderId="10" xfId="0" applyNumberFormat="1" applyFill="1" applyBorder="1" applyAlignment="1">
      <alignment horizontal="center" vertical="center"/>
    </xf>
    <xf numFmtId="2" fontId="7" fillId="0" borderId="28" xfId="0" applyNumberFormat="1" applyFont="1" applyBorder="1" applyAlignment="1">
      <alignment horizontal="center" vertical="center"/>
    </xf>
    <xf numFmtId="2" fontId="6" fillId="8" borderId="0" xfId="0" applyNumberFormat="1" applyFont="1" applyFill="1" applyAlignment="1">
      <alignment horizontal="center" vertical="center" wrapText="1"/>
    </xf>
    <xf numFmtId="0" fontId="11" fillId="11" borderId="2" xfId="0" quotePrefix="1" applyFont="1" applyFill="1" applyBorder="1" applyAlignment="1">
      <alignment horizontal="center" vertical="center"/>
    </xf>
    <xf numFmtId="0" fontId="11" fillId="13" borderId="2" xfId="0" applyFont="1" applyFill="1" applyBorder="1" applyAlignment="1">
      <alignment horizontal="center" vertical="center" wrapText="1"/>
    </xf>
    <xf numFmtId="0" fontId="11" fillId="0" borderId="18" xfId="0" quotePrefix="1" applyFont="1" applyBorder="1" applyAlignment="1">
      <alignment horizontal="center"/>
    </xf>
    <xf numFmtId="2" fontId="0" fillId="12" borderId="44" xfId="0" applyNumberFormat="1" applyFill="1" applyBorder="1" applyAlignment="1">
      <alignment horizontal="center" vertical="center"/>
    </xf>
    <xf numFmtId="2" fontId="0" fillId="8" borderId="42" xfId="0" applyNumberFormat="1" applyFill="1" applyBorder="1" applyAlignment="1">
      <alignment horizontal="center" vertical="center"/>
    </xf>
    <xf numFmtId="2" fontId="0" fillId="0" borderId="30" xfId="0" applyNumberFormat="1" applyBorder="1" applyAlignment="1">
      <alignment horizontal="center" vertical="center"/>
    </xf>
    <xf numFmtId="2" fontId="0" fillId="0" borderId="26" xfId="0" applyNumberFormat="1" applyBorder="1" applyAlignment="1">
      <alignment horizontal="center" vertical="center"/>
    </xf>
    <xf numFmtId="2" fontId="0" fillId="13" borderId="44" xfId="0" applyNumberFormat="1" applyFill="1" applyBorder="1" applyAlignment="1">
      <alignment horizontal="center" vertical="center"/>
    </xf>
    <xf numFmtId="0" fontId="15" fillId="0" borderId="23" xfId="0" quotePrefix="1" applyFont="1" applyBorder="1" applyAlignment="1">
      <alignment horizontal="center"/>
    </xf>
    <xf numFmtId="2" fontId="0" fillId="13" borderId="45" xfId="0" applyNumberFormat="1" applyFill="1" applyBorder="1" applyAlignment="1">
      <alignment horizontal="center" vertical="center"/>
    </xf>
    <xf numFmtId="0" fontId="0" fillId="0" borderId="26" xfId="0" applyBorder="1"/>
    <xf numFmtId="0" fontId="11" fillId="0" borderId="27" xfId="0" applyFont="1" applyBorder="1" applyAlignment="1">
      <alignment horizontal="center"/>
    </xf>
    <xf numFmtId="0" fontId="11" fillId="11" borderId="21" xfId="0" quotePrefix="1" applyFont="1" applyFill="1" applyBorder="1" applyAlignment="1">
      <alignment horizontal="center"/>
    </xf>
    <xf numFmtId="2" fontId="7" fillId="0" borderId="28" xfId="0" applyNumberFormat="1" applyFont="1" applyBorder="1" applyAlignment="1">
      <alignment horizontal="center"/>
    </xf>
    <xf numFmtId="167" fontId="0" fillId="0" borderId="24" xfId="0" applyNumberFormat="1" applyBorder="1" applyAlignment="1">
      <alignment horizontal="center" vertical="center"/>
    </xf>
    <xf numFmtId="167" fontId="0" fillId="0" borderId="10" xfId="0" applyNumberFormat="1" applyBorder="1" applyAlignment="1">
      <alignment horizontal="center" vertical="center"/>
    </xf>
    <xf numFmtId="167" fontId="0" fillId="14" borderId="10" xfId="0" applyNumberFormat="1" applyFill="1" applyBorder="1" applyAlignment="1">
      <alignment horizontal="center" vertical="center"/>
    </xf>
    <xf numFmtId="167" fontId="7" fillId="0" borderId="10" xfId="0" applyNumberFormat="1" applyFont="1" applyBorder="1" applyAlignment="1">
      <alignment horizontal="center" vertical="center"/>
    </xf>
    <xf numFmtId="167" fontId="0" fillId="14" borderId="30" xfId="0" applyNumberFormat="1" applyFill="1" applyBorder="1" applyAlignment="1">
      <alignment horizontal="center" vertical="center"/>
    </xf>
    <xf numFmtId="0" fontId="11" fillId="0" borderId="27" xfId="0" quotePrefix="1" applyFont="1" applyBorder="1" applyAlignment="1">
      <alignment horizontal="center"/>
    </xf>
    <xf numFmtId="0" fontId="11" fillId="13" borderId="21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2" fontId="0" fillId="32" borderId="42" xfId="0" applyNumberFormat="1" applyFill="1" applyBorder="1" applyAlignment="1">
      <alignment horizontal="center" vertical="center"/>
    </xf>
    <xf numFmtId="2" fontId="0" fillId="32" borderId="47" xfId="0" applyNumberFormat="1" applyFill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6" fillId="8" borderId="0" xfId="0" applyFont="1" applyFill="1"/>
    <xf numFmtId="164" fontId="0" fillId="0" borderId="24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/>
    </xf>
    <xf numFmtId="2" fontId="0" fillId="8" borderId="30" xfId="0" applyNumberFormat="1" applyFill="1" applyBorder="1" applyAlignment="1">
      <alignment horizontal="center" vertical="center"/>
    </xf>
    <xf numFmtId="0" fontId="0" fillId="21" borderId="4" xfId="0" applyFill="1" applyBorder="1" applyAlignment="1">
      <alignment horizontal="center" vertical="center" wrapText="1"/>
    </xf>
    <xf numFmtId="0" fontId="0" fillId="21" borderId="2" xfId="0" applyFill="1" applyBorder="1" applyAlignment="1">
      <alignment horizontal="center" vertical="center" wrapText="1"/>
    </xf>
    <xf numFmtId="0" fontId="0" fillId="17" borderId="4" xfId="0" applyFill="1" applyBorder="1" applyAlignment="1">
      <alignment horizontal="center" vertical="center" wrapText="1"/>
    </xf>
    <xf numFmtId="0" fontId="0" fillId="17" borderId="2" xfId="0" applyFill="1" applyBorder="1" applyAlignment="1">
      <alignment horizontal="center" vertical="center" wrapText="1"/>
    </xf>
    <xf numFmtId="0" fontId="0" fillId="19" borderId="4" xfId="0" applyFill="1" applyBorder="1" applyAlignment="1">
      <alignment horizontal="center" vertical="center" wrapText="1"/>
    </xf>
    <xf numFmtId="0" fontId="0" fillId="19" borderId="2" xfId="0" applyFill="1" applyBorder="1" applyAlignment="1">
      <alignment horizontal="center" vertical="center" wrapText="1"/>
    </xf>
    <xf numFmtId="0" fontId="0" fillId="15" borderId="4" xfId="0" applyFill="1" applyBorder="1" applyAlignment="1">
      <alignment horizontal="center" vertical="center" wrapText="1"/>
    </xf>
    <xf numFmtId="0" fontId="0" fillId="15" borderId="2" xfId="0" applyFill="1" applyBorder="1" applyAlignment="1">
      <alignment horizontal="center" vertical="center" wrapText="1"/>
    </xf>
    <xf numFmtId="0" fontId="6" fillId="0" borderId="2" xfId="1" applyBorder="1" applyAlignment="1">
      <alignment horizontal="center" vertical="center" wrapText="1"/>
    </xf>
    <xf numFmtId="0" fontId="6" fillId="0" borderId="2" xfId="1" applyBorder="1" applyAlignment="1">
      <alignment horizontal="center" vertical="center"/>
    </xf>
    <xf numFmtId="22" fontId="6" fillId="0" borderId="1" xfId="1" quotePrefix="1" applyNumberFormat="1" applyBorder="1" applyAlignment="1">
      <alignment horizontal="right"/>
    </xf>
    <xf numFmtId="0" fontId="6" fillId="0" borderId="1" xfId="1" applyBorder="1" applyAlignment="1">
      <alignment horizontal="center" vertical="center" wrapText="1"/>
    </xf>
    <xf numFmtId="0" fontId="6" fillId="0" borderId="1" xfId="1" applyBorder="1" applyAlignment="1">
      <alignment horizontal="center" vertical="center"/>
    </xf>
    <xf numFmtId="22" fontId="16" fillId="0" borderId="1" xfId="1" quotePrefix="1" applyNumberFormat="1" applyFont="1" applyBorder="1" applyAlignment="1">
      <alignment horizontal="right"/>
    </xf>
    <xf numFmtId="0" fontId="16" fillId="0" borderId="1" xfId="1" quotePrefix="1" applyFont="1" applyBorder="1" applyAlignment="1">
      <alignment horizontal="right"/>
    </xf>
    <xf numFmtId="0" fontId="6" fillId="0" borderId="1" xfId="1" quotePrefix="1" applyBorder="1" applyAlignment="1">
      <alignment horizontal="right"/>
    </xf>
    <xf numFmtId="0" fontId="6" fillId="0" borderId="1" xfId="1" applyBorder="1" applyAlignment="1">
      <alignment horizontal="right" vertical="center" wrapText="1"/>
    </xf>
    <xf numFmtId="0" fontId="6" fillId="0" borderId="9" xfId="1" applyBorder="1" applyAlignment="1">
      <alignment horizontal="right" vertical="center" wrapText="1"/>
    </xf>
    <xf numFmtId="0" fontId="6" fillId="0" borderId="9" xfId="1" applyBorder="1" applyAlignment="1">
      <alignment horizontal="center" vertical="center" wrapText="1"/>
    </xf>
    <xf numFmtId="0" fontId="6" fillId="0" borderId="9" xfId="1" applyBorder="1" applyAlignment="1">
      <alignment horizontal="center" vertical="center"/>
    </xf>
    <xf numFmtId="0" fontId="6" fillId="0" borderId="5" xfId="1" applyBorder="1" applyAlignment="1">
      <alignment horizontal="right"/>
    </xf>
    <xf numFmtId="0" fontId="6" fillId="0" borderId="5" xfId="1" applyBorder="1" applyAlignment="1">
      <alignment vertical="center" wrapText="1"/>
    </xf>
    <xf numFmtId="0" fontId="6" fillId="0" borderId="8" xfId="1" applyBorder="1" applyAlignment="1">
      <alignment vertical="center" wrapText="1"/>
    </xf>
    <xf numFmtId="0" fontId="6" fillId="0" borderId="7" xfId="1" applyBorder="1" applyAlignment="1">
      <alignment horizontal="center" vertical="center" wrapText="1"/>
    </xf>
    <xf numFmtId="0" fontId="6" fillId="0" borderId="7" xfId="1" applyBorder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26" fillId="34" borderId="4" xfId="1" quotePrefix="1" applyFont="1" applyFill="1" applyBorder="1" applyAlignment="1">
      <alignment horizontal="center"/>
    </xf>
    <xf numFmtId="0" fontId="26" fillId="34" borderId="5" xfId="1" quotePrefix="1" applyFont="1" applyFill="1" applyBorder="1" applyAlignment="1">
      <alignment horizontal="center"/>
    </xf>
    <xf numFmtId="0" fontId="16" fillId="34" borderId="2" xfId="1" applyFont="1" applyFill="1" applyBorder="1" applyAlignment="1">
      <alignment horizontal="center" vertical="center"/>
    </xf>
    <xf numFmtId="0" fontId="6" fillId="34" borderId="1" xfId="1" applyFill="1" applyBorder="1" applyAlignment="1">
      <alignment horizontal="center"/>
    </xf>
    <xf numFmtId="0" fontId="16" fillId="34" borderId="1" xfId="1" applyFont="1" applyFill="1" applyBorder="1" applyAlignment="1">
      <alignment horizontal="center"/>
    </xf>
    <xf numFmtId="0" fontId="6" fillId="34" borderId="1" xfId="1" applyFill="1" applyBorder="1" applyAlignment="1">
      <alignment horizontal="center" vertical="center" wrapText="1"/>
    </xf>
    <xf numFmtId="0" fontId="6" fillId="34" borderId="4" xfId="1" applyFill="1" applyBorder="1" applyAlignment="1">
      <alignment horizontal="center" vertical="center"/>
    </xf>
    <xf numFmtId="2" fontId="6" fillId="34" borderId="2" xfId="1" quotePrefix="1" applyNumberFormat="1" applyFill="1" applyBorder="1" applyAlignment="1">
      <alignment horizontal="center"/>
    </xf>
    <xf numFmtId="2" fontId="6" fillId="35" borderId="6" xfId="1" applyNumberFormat="1" applyFill="1" applyBorder="1" applyAlignment="1">
      <alignment horizontal="center" vertical="center"/>
    </xf>
    <xf numFmtId="2" fontId="6" fillId="35" borderId="7" xfId="1" quotePrefix="1" applyNumberFormat="1" applyFill="1" applyBorder="1" applyAlignment="1">
      <alignment horizontal="center" vertical="center"/>
    </xf>
    <xf numFmtId="2" fontId="6" fillId="0" borderId="1" xfId="1" applyNumberFormat="1" applyBorder="1" applyAlignment="1">
      <alignment horizontal="right" vertical="center" wrapText="1"/>
    </xf>
    <xf numFmtId="0" fontId="6" fillId="0" borderId="21" xfId="1" applyBorder="1" applyAlignment="1">
      <alignment horizontal="center" vertical="center" wrapText="1"/>
    </xf>
    <xf numFmtId="0" fontId="7" fillId="20" borderId="4" xfId="1" applyFont="1" applyFill="1" applyBorder="1" applyAlignment="1">
      <alignment horizontal="center" vertical="center"/>
    </xf>
    <xf numFmtId="2" fontId="7" fillId="20" borderId="2" xfId="1" quotePrefix="1" applyNumberFormat="1" applyFont="1" applyFill="1" applyBorder="1" applyAlignment="1">
      <alignment horizontal="center"/>
    </xf>
    <xf numFmtId="0" fontId="6" fillId="0" borderId="8" xfId="1" applyBorder="1" applyAlignment="1">
      <alignment horizontal="right"/>
    </xf>
    <xf numFmtId="164" fontId="0" fillId="0" borderId="12" xfId="0" applyNumberFormat="1" applyBorder="1" applyAlignment="1">
      <alignment horizontal="center" vertical="center"/>
    </xf>
    <xf numFmtId="0" fontId="14" fillId="12" borderId="27" xfId="1" applyFont="1" applyFill="1" applyBorder="1" applyAlignment="1">
      <alignment horizontal="center" vertical="center" wrapText="1"/>
    </xf>
    <xf numFmtId="0" fontId="6" fillId="12" borderId="21" xfId="1" applyFill="1" applyBorder="1" applyAlignment="1">
      <alignment horizontal="right" vertical="center" wrapText="1"/>
    </xf>
    <xf numFmtId="0" fontId="16" fillId="7" borderId="6" xfId="1" applyFont="1" applyFill="1" applyBorder="1" applyAlignment="1">
      <alignment horizontal="right"/>
    </xf>
    <xf numFmtId="0" fontId="6" fillId="7" borderId="7" xfId="1" applyFill="1" applyBorder="1" applyAlignment="1">
      <alignment horizontal="right" vertical="center" wrapText="1"/>
    </xf>
    <xf numFmtId="2" fontId="6" fillId="0" borderId="11" xfId="1" applyNumberFormat="1" applyBorder="1" applyAlignment="1">
      <alignment horizontal="center"/>
    </xf>
    <xf numFmtId="2" fontId="6" fillId="23" borderId="6" xfId="1" applyNumberFormat="1" applyFill="1" applyBorder="1" applyAlignment="1">
      <alignment horizontal="center" vertical="center"/>
    </xf>
    <xf numFmtId="2" fontId="6" fillId="23" borderId="7" xfId="1" quotePrefix="1" applyNumberFormat="1" applyFill="1" applyBorder="1" applyAlignment="1">
      <alignment horizontal="center" vertical="center"/>
    </xf>
    <xf numFmtId="0" fontId="6" fillId="0" borderId="21" xfId="1" applyBorder="1" applyAlignment="1">
      <alignment horizontal="center" vertical="center"/>
    </xf>
    <xf numFmtId="0" fontId="7" fillId="7" borderId="4" xfId="1" applyFont="1" applyFill="1" applyBorder="1" applyAlignment="1">
      <alignment horizontal="center" vertical="center"/>
    </xf>
    <xf numFmtId="2" fontId="7" fillId="7" borderId="2" xfId="1" quotePrefix="1" applyNumberFormat="1" applyFont="1" applyFill="1" applyBorder="1" applyAlignment="1">
      <alignment horizontal="center"/>
    </xf>
    <xf numFmtId="2" fontId="6" fillId="0" borderId="0" xfId="1" quotePrefix="1" applyNumberFormat="1" applyAlignment="1">
      <alignment horizontal="left"/>
    </xf>
    <xf numFmtId="2" fontId="6" fillId="36" borderId="6" xfId="1" applyNumberFormat="1" applyFill="1" applyBorder="1" applyAlignment="1">
      <alignment horizontal="center" vertical="center"/>
    </xf>
    <xf numFmtId="2" fontId="6" fillId="36" borderId="7" xfId="1" quotePrefix="1" applyNumberFormat="1" applyFill="1" applyBorder="1" applyAlignment="1">
      <alignment horizontal="center" vertical="center"/>
    </xf>
    <xf numFmtId="2" fontId="6" fillId="37" borderId="6" xfId="1" applyNumberFormat="1" applyFill="1" applyBorder="1" applyAlignment="1">
      <alignment horizontal="center" vertical="center"/>
    </xf>
    <xf numFmtId="2" fontId="6" fillId="37" borderId="7" xfId="1" quotePrefix="1" applyNumberFormat="1" applyFill="1" applyBorder="1" applyAlignment="1">
      <alignment horizontal="center" vertical="center"/>
    </xf>
    <xf numFmtId="2" fontId="0" fillId="14" borderId="24" xfId="0" applyNumberFormat="1" applyFill="1" applyBorder="1" applyAlignment="1">
      <alignment horizontal="center" vertical="center"/>
    </xf>
    <xf numFmtId="0" fontId="6" fillId="15" borderId="0" xfId="0" applyFont="1" applyFill="1" applyAlignment="1">
      <alignment horizontal="center" vertical="center"/>
    </xf>
    <xf numFmtId="0" fontId="6" fillId="7" borderId="4" xfId="0" applyFont="1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6" fillId="14" borderId="5" xfId="0" applyFont="1" applyFill="1" applyBorder="1" applyAlignment="1">
      <alignment horizontal="center" vertical="center"/>
    </xf>
    <xf numFmtId="0" fontId="16" fillId="0" borderId="5" xfId="0" quotePrefix="1" applyFont="1" applyBorder="1" applyAlignment="1">
      <alignment horizontal="center" vertical="center"/>
    </xf>
    <xf numFmtId="0" fontId="6" fillId="13" borderId="4" xfId="0" applyFont="1" applyFill="1" applyBorder="1" applyAlignment="1">
      <alignment horizontal="center" vertical="center"/>
    </xf>
    <xf numFmtId="0" fontId="6" fillId="13" borderId="5" xfId="0" applyFont="1" applyFill="1" applyBorder="1" applyAlignment="1">
      <alignment horizontal="center" vertical="center"/>
    </xf>
    <xf numFmtId="22" fontId="6" fillId="0" borderId="5" xfId="0" quotePrefix="1" applyNumberFormat="1" applyFont="1" applyBorder="1" applyAlignment="1">
      <alignment horizontal="center" vertical="center"/>
    </xf>
    <xf numFmtId="22" fontId="16" fillId="0" borderId="5" xfId="0" quotePrefix="1" applyNumberFormat="1" applyFont="1" applyBorder="1" applyAlignment="1">
      <alignment horizontal="center" vertical="center"/>
    </xf>
    <xf numFmtId="0" fontId="16" fillId="0" borderId="6" xfId="0" quotePrefix="1" applyFont="1" applyBorder="1" applyAlignment="1">
      <alignment horizontal="center" vertical="center"/>
    </xf>
    <xf numFmtId="0" fontId="6" fillId="0" borderId="5" xfId="0" quotePrefix="1" applyFont="1" applyBorder="1" applyAlignment="1">
      <alignment horizontal="center" vertical="center"/>
    </xf>
    <xf numFmtId="0" fontId="0" fillId="12" borderId="5" xfId="0" applyFill="1" applyBorder="1" applyAlignment="1">
      <alignment horizontal="center" vertical="center"/>
    </xf>
    <xf numFmtId="0" fontId="6" fillId="14" borderId="4" xfId="0" applyFont="1" applyFill="1" applyBorder="1" applyAlignment="1">
      <alignment horizontal="center" vertical="center"/>
    </xf>
    <xf numFmtId="0" fontId="6" fillId="13" borderId="27" xfId="0" applyFont="1" applyFill="1" applyBorder="1" applyAlignment="1">
      <alignment horizontal="center" vertical="center"/>
    </xf>
    <xf numFmtId="0" fontId="16" fillId="0" borderId="8" xfId="0" quotePrefix="1" applyFont="1" applyBorder="1" applyAlignment="1">
      <alignment horizontal="center" vertical="center"/>
    </xf>
    <xf numFmtId="0" fontId="0" fillId="12" borderId="4" xfId="0" applyFill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 wrapText="1"/>
    </xf>
    <xf numFmtId="165" fontId="0" fillId="0" borderId="11" xfId="0" applyNumberFormat="1" applyBorder="1" applyAlignment="1">
      <alignment horizontal="center" vertical="center" wrapText="1"/>
    </xf>
    <xf numFmtId="0" fontId="6" fillId="37" borderId="0" xfId="0" applyFont="1" applyFill="1"/>
    <xf numFmtId="165" fontId="0" fillId="8" borderId="30" xfId="0" applyNumberFormat="1" applyFill="1" applyBorder="1" applyAlignment="1">
      <alignment horizontal="center" vertical="center" wrapText="1"/>
    </xf>
    <xf numFmtId="165" fontId="0" fillId="0" borderId="28" xfId="0" applyNumberFormat="1" applyBorder="1" applyAlignment="1">
      <alignment horizontal="center" vertical="center" wrapText="1"/>
    </xf>
    <xf numFmtId="0" fontId="6" fillId="7" borderId="18" xfId="0" applyFont="1" applyFill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2" fontId="7" fillId="7" borderId="13" xfId="0" applyNumberFormat="1" applyFont="1" applyFill="1" applyBorder="1" applyAlignment="1">
      <alignment horizontal="center" vertical="center" wrapText="1"/>
    </xf>
    <xf numFmtId="2" fontId="13" fillId="7" borderId="14" xfId="0" applyNumberFormat="1" applyFont="1" applyFill="1" applyBorder="1" applyAlignment="1">
      <alignment horizontal="center"/>
    </xf>
    <xf numFmtId="2" fontId="6" fillId="36" borderId="36" xfId="0" applyNumberFormat="1" applyFont="1" applyFill="1" applyBorder="1" applyAlignment="1">
      <alignment horizontal="center"/>
    </xf>
    <xf numFmtId="2" fontId="6" fillId="36" borderId="60" xfId="0" applyNumberFormat="1" applyFont="1" applyFill="1" applyBorder="1" applyAlignment="1">
      <alignment horizontal="center"/>
    </xf>
    <xf numFmtId="0" fontId="0" fillId="0" borderId="28" xfId="0" applyBorder="1"/>
    <xf numFmtId="2" fontId="6" fillId="36" borderId="6" xfId="0" applyNumberFormat="1" applyFont="1" applyFill="1" applyBorder="1" applyAlignment="1">
      <alignment horizontal="center"/>
    </xf>
    <xf numFmtId="2" fontId="6" fillId="36" borderId="11" xfId="0" applyNumberFormat="1" applyFont="1" applyFill="1" applyBorder="1" applyAlignment="1">
      <alignment horizontal="center"/>
    </xf>
    <xf numFmtId="2" fontId="7" fillId="7" borderId="4" xfId="0" applyNumberFormat="1" applyFont="1" applyFill="1" applyBorder="1" applyAlignment="1">
      <alignment horizontal="center" vertical="center" wrapText="1"/>
    </xf>
    <xf numFmtId="2" fontId="7" fillId="7" borderId="24" xfId="0" applyNumberFormat="1" applyFont="1" applyFill="1" applyBorder="1" applyAlignment="1">
      <alignment horizontal="center"/>
    </xf>
    <xf numFmtId="2" fontId="7" fillId="14" borderId="4" xfId="0" applyNumberFormat="1" applyFont="1" applyFill="1" applyBorder="1" applyAlignment="1">
      <alignment horizontal="center" vertical="center" wrapText="1"/>
    </xf>
    <xf numFmtId="2" fontId="7" fillId="14" borderId="24" xfId="0" applyNumberFormat="1" applyFont="1" applyFill="1" applyBorder="1" applyAlignment="1">
      <alignment horizontal="center"/>
    </xf>
    <xf numFmtId="2" fontId="6" fillId="11" borderId="6" xfId="0" applyNumberFormat="1" applyFont="1" applyFill="1" applyBorder="1" applyAlignment="1">
      <alignment horizontal="center"/>
    </xf>
    <xf numFmtId="2" fontId="6" fillId="11" borderId="11" xfId="0" applyNumberFormat="1" applyFont="1" applyFill="1" applyBorder="1" applyAlignment="1">
      <alignment horizontal="center"/>
    </xf>
    <xf numFmtId="0" fontId="6" fillId="13" borderId="18" xfId="0" applyFont="1" applyFill="1" applyBorder="1" applyAlignment="1">
      <alignment horizontal="center" vertical="center"/>
    </xf>
    <xf numFmtId="0" fontId="16" fillId="0" borderId="23" xfId="0" quotePrefix="1" applyFont="1" applyBorder="1" applyAlignment="1">
      <alignment horizontal="center" vertical="center"/>
    </xf>
    <xf numFmtId="2" fontId="7" fillId="21" borderId="4" xfId="0" applyNumberFormat="1" applyFont="1" applyFill="1" applyBorder="1" applyAlignment="1">
      <alignment horizontal="center" vertical="center" wrapText="1"/>
    </xf>
    <xf numFmtId="2" fontId="7" fillId="21" borderId="24" xfId="0" applyNumberFormat="1" applyFont="1" applyFill="1" applyBorder="1" applyAlignment="1">
      <alignment horizontal="center"/>
    </xf>
    <xf numFmtId="2" fontId="6" fillId="13" borderId="6" xfId="0" applyNumberFormat="1" applyFont="1" applyFill="1" applyBorder="1" applyAlignment="1">
      <alignment horizontal="center"/>
    </xf>
    <xf numFmtId="2" fontId="6" fillId="13" borderId="11" xfId="0" applyNumberFormat="1" applyFont="1" applyFill="1" applyBorder="1" applyAlignment="1">
      <alignment horizontal="center"/>
    </xf>
    <xf numFmtId="0" fontId="0" fillId="12" borderId="18" xfId="0" applyFill="1" applyBorder="1" applyAlignment="1">
      <alignment horizontal="center" vertical="center"/>
    </xf>
    <xf numFmtId="2" fontId="7" fillId="12" borderId="4" xfId="0" applyNumberFormat="1" applyFont="1" applyFill="1" applyBorder="1" applyAlignment="1">
      <alignment horizontal="center" vertical="center" wrapText="1"/>
    </xf>
    <xf numFmtId="2" fontId="7" fillId="12" borderId="24" xfId="0" applyNumberFormat="1" applyFont="1" applyFill="1" applyBorder="1" applyAlignment="1">
      <alignment horizontal="center"/>
    </xf>
    <xf numFmtId="2" fontId="6" fillId="37" borderId="6" xfId="0" applyNumberFormat="1" applyFont="1" applyFill="1" applyBorder="1" applyAlignment="1">
      <alignment horizontal="center"/>
    </xf>
    <xf numFmtId="2" fontId="6" fillId="37" borderId="11" xfId="0" applyNumberFormat="1" applyFont="1" applyFill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4" fillId="0" borderId="23" xfId="0" applyFont="1" applyBorder="1" applyAlignment="1">
      <alignment horizontal="center"/>
    </xf>
    <xf numFmtId="2" fontId="0" fillId="7" borderId="44" xfId="0" applyNumberFormat="1" applyFill="1" applyBorder="1" applyAlignment="1">
      <alignment horizontal="center" vertical="center"/>
    </xf>
    <xf numFmtId="2" fontId="0" fillId="36" borderId="42" xfId="0" applyNumberFormat="1" applyFill="1" applyBorder="1" applyAlignment="1">
      <alignment horizontal="center" vertical="center"/>
    </xf>
    <xf numFmtId="2" fontId="0" fillId="14" borderId="44" xfId="0" applyNumberFormat="1" applyFill="1" applyBorder="1" applyAlignment="1">
      <alignment horizontal="center" vertical="center"/>
    </xf>
    <xf numFmtId="2" fontId="0" fillId="11" borderId="42" xfId="0" applyNumberFormat="1" applyFill="1" applyBorder="1" applyAlignment="1">
      <alignment horizontal="center" vertical="center"/>
    </xf>
    <xf numFmtId="0" fontId="18" fillId="14" borderId="4" xfId="0" applyFont="1" applyFill="1" applyBorder="1" applyAlignment="1">
      <alignment horizontal="right" vertical="top"/>
    </xf>
    <xf numFmtId="0" fontId="18" fillId="14" borderId="2" xfId="0" applyFont="1" applyFill="1" applyBorder="1" applyAlignment="1">
      <alignment horizontal="center" vertical="top"/>
    </xf>
    <xf numFmtId="2" fontId="17" fillId="14" borderId="24" xfId="0" applyNumberFormat="1" applyFont="1" applyFill="1" applyBorder="1" applyAlignment="1">
      <alignment horizontal="center" vertical="top"/>
    </xf>
    <xf numFmtId="0" fontId="18" fillId="0" borderId="5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18" fillId="0" borderId="6" xfId="0" applyFont="1" applyBorder="1" applyAlignment="1">
      <alignment horizontal="right" vertical="center"/>
    </xf>
    <xf numFmtId="0" fontId="4" fillId="0" borderId="7" xfId="0" applyFont="1" applyBorder="1" applyAlignment="1">
      <alignment horizontal="center" vertical="center" wrapText="1"/>
    </xf>
    <xf numFmtId="2" fontId="4" fillId="0" borderId="11" xfId="0" applyNumberFormat="1" applyFont="1" applyBorder="1" applyAlignment="1">
      <alignment horizontal="center"/>
    </xf>
    <xf numFmtId="167" fontId="0" fillId="15" borderId="10" xfId="0" applyNumberFormat="1" applyFill="1" applyBorder="1" applyAlignment="1">
      <alignment horizontal="center" vertical="center"/>
    </xf>
    <xf numFmtId="2" fontId="6" fillId="15" borderId="0" xfId="0" applyNumberFormat="1" applyFont="1" applyFill="1" applyAlignment="1">
      <alignment horizontal="center" vertical="center" wrapText="1"/>
    </xf>
    <xf numFmtId="0" fontId="7" fillId="23" borderId="2" xfId="0" applyFont="1" applyFill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0" borderId="24" xfId="0" applyBorder="1" applyAlignment="1">
      <alignment horizontal="center"/>
    </xf>
    <xf numFmtId="0" fontId="7" fillId="23" borderId="1" xfId="0" applyFont="1" applyFill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7" fillId="20" borderId="2" xfId="0" applyFont="1" applyFill="1" applyBorder="1" applyAlignment="1">
      <alignment horizontal="center"/>
    </xf>
    <xf numFmtId="0" fontId="7" fillId="20" borderId="1" xfId="0" applyFont="1" applyFill="1" applyBorder="1" applyAlignment="1">
      <alignment horizontal="center"/>
    </xf>
    <xf numFmtId="0" fontId="7" fillId="10" borderId="1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/>
    </xf>
    <xf numFmtId="0" fontId="7" fillId="38" borderId="1" xfId="0" applyFont="1" applyFill="1" applyBorder="1" applyAlignment="1">
      <alignment horizontal="center"/>
    </xf>
    <xf numFmtId="0" fontId="7" fillId="17" borderId="2" xfId="0" applyFont="1" applyFill="1" applyBorder="1" applyAlignment="1">
      <alignment horizontal="center"/>
    </xf>
    <xf numFmtId="0" fontId="0" fillId="0" borderId="45" xfId="0" applyBorder="1"/>
    <xf numFmtId="0" fontId="0" fillId="0" borderId="46" xfId="0" applyBorder="1"/>
    <xf numFmtId="0" fontId="7" fillId="0" borderId="49" xfId="0" applyFont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7" fillId="30" borderId="1" xfId="0" applyFont="1" applyFill="1" applyBorder="1" applyAlignment="1">
      <alignment horizontal="center"/>
    </xf>
    <xf numFmtId="0" fontId="0" fillId="23" borderId="10" xfId="0" applyFill="1" applyBorder="1"/>
    <xf numFmtId="0" fontId="0" fillId="20" borderId="30" xfId="0" applyFill="1" applyBorder="1"/>
    <xf numFmtId="0" fontId="0" fillId="17" borderId="10" xfId="0" applyFill="1" applyBorder="1" applyAlignment="1">
      <alignment horizontal="center" vertical="center"/>
    </xf>
    <xf numFmtId="0" fontId="7" fillId="10" borderId="7" xfId="0" applyFont="1" applyFill="1" applyBorder="1" applyAlignment="1">
      <alignment horizontal="center"/>
    </xf>
    <xf numFmtId="0" fontId="0" fillId="10" borderId="30" xfId="0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4" fontId="8" fillId="0" borderId="0" xfId="0" applyNumberFormat="1" applyFont="1" applyAlignment="1">
      <alignment horizontal="center"/>
    </xf>
    <xf numFmtId="0" fontId="7" fillId="16" borderId="2" xfId="0" applyFont="1" applyFill="1" applyBorder="1" applyAlignment="1">
      <alignment horizontal="center"/>
    </xf>
    <xf numFmtId="0" fontId="7" fillId="38" borderId="21" xfId="0" applyFont="1" applyFill="1" applyBorder="1" applyAlignment="1">
      <alignment horizontal="center"/>
    </xf>
    <xf numFmtId="164" fontId="0" fillId="0" borderId="25" xfId="0" applyNumberFormat="1" applyBorder="1" applyAlignment="1">
      <alignment horizontal="center" vertical="center"/>
    </xf>
    <xf numFmtId="0" fontId="0" fillId="0" borderId="30" xfId="0" applyBorder="1"/>
    <xf numFmtId="0" fontId="7" fillId="30" borderId="2" xfId="0" applyFont="1" applyFill="1" applyBorder="1" applyAlignment="1">
      <alignment horizontal="center"/>
    </xf>
    <xf numFmtId="2" fontId="7" fillId="8" borderId="2" xfId="0" applyNumberFormat="1" applyFont="1" applyFill="1" applyBorder="1" applyAlignment="1">
      <alignment horizontal="center" vertical="center"/>
    </xf>
    <xf numFmtId="2" fontId="7" fillId="8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2" fontId="7" fillId="0" borderId="7" xfId="0" applyNumberFormat="1" applyFont="1" applyBorder="1" applyAlignment="1">
      <alignment horizontal="center" vertical="center"/>
    </xf>
    <xf numFmtId="0" fontId="0" fillId="30" borderId="7" xfId="0" applyFill="1" applyBorder="1"/>
    <xf numFmtId="2" fontId="0" fillId="30" borderId="11" xfId="0" applyNumberFormat="1" applyFill="1" applyBorder="1" applyAlignment="1">
      <alignment horizontal="center" vertical="center"/>
    </xf>
    <xf numFmtId="2" fontId="0" fillId="16" borderId="7" xfId="0" applyNumberFormat="1" applyFill="1" applyBorder="1" applyAlignment="1">
      <alignment horizontal="center" vertical="center"/>
    </xf>
    <xf numFmtId="2" fontId="0" fillId="16" borderId="11" xfId="0" applyNumberFormat="1" applyFill="1" applyBorder="1" applyAlignment="1">
      <alignment horizontal="center" vertical="center"/>
    </xf>
    <xf numFmtId="2" fontId="0" fillId="38" borderId="7" xfId="0" applyNumberFormat="1" applyFill="1" applyBorder="1" applyAlignment="1">
      <alignment horizontal="center" vertical="center"/>
    </xf>
    <xf numFmtId="2" fontId="0" fillId="38" borderId="11" xfId="0" applyNumberForma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0" fillId="7" borderId="4" xfId="0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2" fontId="53" fillId="12" borderId="6" xfId="0" applyNumberFormat="1" applyFont="1" applyFill="1" applyBorder="1" applyAlignment="1">
      <alignment horizontal="center" vertical="center"/>
    </xf>
    <xf numFmtId="2" fontId="53" fillId="12" borderId="7" xfId="0" applyNumberFormat="1" applyFont="1" applyFill="1" applyBorder="1" applyAlignment="1">
      <alignment horizontal="center" vertical="center"/>
    </xf>
    <xf numFmtId="2" fontId="53" fillId="12" borderId="11" xfId="0" applyNumberFormat="1" applyFont="1" applyFill="1" applyBorder="1" applyAlignment="1">
      <alignment horizontal="center" vertical="center"/>
    </xf>
    <xf numFmtId="0" fontId="19" fillId="30" borderId="18" xfId="0" applyFont="1" applyFill="1" applyBorder="1" applyAlignment="1">
      <alignment horizontal="center" vertical="center"/>
    </xf>
    <xf numFmtId="0" fontId="19" fillId="30" borderId="1" xfId="0" applyFont="1" applyFill="1" applyBorder="1" applyAlignment="1">
      <alignment horizontal="center" vertical="center"/>
    </xf>
    <xf numFmtId="0" fontId="19" fillId="38" borderId="1" xfId="0" applyFont="1" applyFill="1" applyBorder="1" applyAlignment="1">
      <alignment horizontal="center" vertical="center"/>
    </xf>
    <xf numFmtId="0" fontId="19" fillId="38" borderId="18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9" fillId="10" borderId="24" xfId="0" applyFont="1" applyFill="1" applyBorder="1" applyAlignment="1">
      <alignment horizontal="center" vertical="center"/>
    </xf>
    <xf numFmtId="0" fontId="19" fillId="20" borderId="4" xfId="0" applyFont="1" applyFill="1" applyBorder="1" applyAlignment="1">
      <alignment horizontal="center" vertical="center"/>
    </xf>
    <xf numFmtId="0" fontId="19" fillId="20" borderId="24" xfId="0" applyFont="1" applyFill="1" applyBorder="1" applyAlignment="1">
      <alignment horizontal="center" vertical="center"/>
    </xf>
    <xf numFmtId="0" fontId="19" fillId="20" borderId="27" xfId="0" applyFont="1" applyFill="1" applyBorder="1" applyAlignment="1">
      <alignment horizontal="center"/>
    </xf>
    <xf numFmtId="0" fontId="19" fillId="20" borderId="25" xfId="0" applyFont="1" applyFill="1" applyBorder="1" applyAlignment="1">
      <alignment horizontal="center" vertical="center"/>
    </xf>
    <xf numFmtId="0" fontId="2" fillId="0" borderId="0" xfId="4"/>
    <xf numFmtId="0" fontId="54" fillId="0" borderId="0" xfId="5"/>
    <xf numFmtId="0" fontId="54" fillId="0" borderId="1" xfId="5" applyBorder="1"/>
    <xf numFmtId="11" fontId="54" fillId="0" borderId="0" xfId="5" applyNumberFormat="1"/>
    <xf numFmtId="2" fontId="54" fillId="0" borderId="0" xfId="5" applyNumberFormat="1"/>
    <xf numFmtId="2" fontId="54" fillId="0" borderId="1" xfId="5" applyNumberFormat="1" applyBorder="1"/>
    <xf numFmtId="0" fontId="55" fillId="0" borderId="0" xfId="5" applyFont="1"/>
    <xf numFmtId="0" fontId="54" fillId="0" borderId="30" xfId="5" applyBorder="1"/>
    <xf numFmtId="2" fontId="54" fillId="0" borderId="30" xfId="5" applyNumberFormat="1" applyBorder="1"/>
    <xf numFmtId="0" fontId="54" fillId="7" borderId="4" xfId="5" applyFill="1" applyBorder="1" applyAlignment="1">
      <alignment horizontal="center"/>
    </xf>
    <xf numFmtId="0" fontId="54" fillId="7" borderId="24" xfId="5" applyFill="1" applyBorder="1" applyAlignment="1">
      <alignment horizontal="center"/>
    </xf>
    <xf numFmtId="0" fontId="54" fillId="7" borderId="4" xfId="5" applyFill="1" applyBorder="1" applyAlignment="1">
      <alignment horizontal="center" vertical="center"/>
    </xf>
    <xf numFmtId="0" fontId="54" fillId="7" borderId="24" xfId="5" applyFill="1" applyBorder="1" applyAlignment="1">
      <alignment horizontal="center" vertical="center"/>
    </xf>
    <xf numFmtId="2" fontId="54" fillId="7" borderId="6" xfId="5" applyNumberFormat="1" applyFill="1" applyBorder="1" applyAlignment="1">
      <alignment horizontal="center" vertical="center"/>
    </xf>
    <xf numFmtId="2" fontId="54" fillId="7" borderId="11" xfId="5" applyNumberForma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/>
    </xf>
    <xf numFmtId="0" fontId="7" fillId="7" borderId="3" xfId="0" applyFont="1" applyFill="1" applyBorder="1" applyAlignment="1">
      <alignment horizontal="center" vertical="center"/>
    </xf>
    <xf numFmtId="0" fontId="7" fillId="39" borderId="3" xfId="0" applyFont="1" applyFill="1" applyBorder="1"/>
    <xf numFmtId="0" fontId="7" fillId="40" borderId="21" xfId="0" applyFont="1" applyFill="1" applyBorder="1" applyAlignment="1">
      <alignment horizontal="center"/>
    </xf>
    <xf numFmtId="0" fontId="7" fillId="40" borderId="1" xfId="0" applyFont="1" applyFill="1" applyBorder="1" applyAlignment="1">
      <alignment horizontal="center"/>
    </xf>
    <xf numFmtId="0" fontId="13" fillId="7" borderId="33" xfId="0" applyFont="1" applyFill="1" applyBorder="1" applyAlignment="1">
      <alignment horizontal="center"/>
    </xf>
    <xf numFmtId="0" fontId="13" fillId="40" borderId="33" xfId="0" applyFont="1" applyFill="1" applyBorder="1" applyAlignment="1">
      <alignment horizontal="center"/>
    </xf>
    <xf numFmtId="0" fontId="13" fillId="17" borderId="33" xfId="0" applyFont="1" applyFill="1" applyBorder="1" applyAlignment="1">
      <alignment horizontal="center"/>
    </xf>
    <xf numFmtId="0" fontId="13" fillId="13" borderId="33" xfId="0" applyFont="1" applyFill="1" applyBorder="1" applyAlignment="1">
      <alignment horizontal="center"/>
    </xf>
    <xf numFmtId="14" fontId="14" fillId="0" borderId="0" xfId="0" applyNumberFormat="1" applyFont="1" applyAlignment="1">
      <alignment horizontal="center" vertical="center"/>
    </xf>
    <xf numFmtId="0" fontId="0" fillId="0" borderId="61" xfId="0" applyBorder="1" applyAlignment="1">
      <alignment horizontal="center"/>
    </xf>
    <xf numFmtId="0" fontId="0" fillId="20" borderId="1" xfId="0" applyFill="1" applyBorder="1" applyAlignment="1">
      <alignment horizontal="center"/>
    </xf>
    <xf numFmtId="0" fontId="54" fillId="11" borderId="1" xfId="5" applyFill="1" applyBorder="1" applyAlignment="1">
      <alignment horizontal="center" vertical="center"/>
    </xf>
    <xf numFmtId="0" fontId="54" fillId="0" borderId="0" xfId="5" applyAlignment="1">
      <alignment horizontal="center" vertical="center"/>
    </xf>
    <xf numFmtId="0" fontId="2" fillId="0" borderId="0" xfId="4" applyAlignment="1">
      <alignment horizontal="center" vertical="center"/>
    </xf>
    <xf numFmtId="0" fontId="54" fillId="41" borderId="0" xfId="5" applyFill="1"/>
    <xf numFmtId="0" fontId="0" fillId="41" borderId="0" xfId="0" applyFill="1"/>
    <xf numFmtId="0" fontId="13" fillId="11" borderId="33" xfId="0" applyFont="1" applyFill="1" applyBorder="1" applyAlignment="1">
      <alignment horizontal="center"/>
    </xf>
    <xf numFmtId="0" fontId="7" fillId="0" borderId="39" xfId="0" applyFont="1" applyBorder="1" applyAlignment="1">
      <alignment horizontal="center" vertical="center"/>
    </xf>
    <xf numFmtId="0" fontId="0" fillId="0" borderId="62" xfId="0" applyBorder="1"/>
    <xf numFmtId="0" fontId="7" fillId="0" borderId="62" xfId="0" applyFont="1" applyBorder="1"/>
    <xf numFmtId="0" fontId="7" fillId="0" borderId="63" xfId="0" applyFont="1" applyBorder="1"/>
    <xf numFmtId="0" fontId="0" fillId="0" borderId="34" xfId="0" applyBorder="1"/>
    <xf numFmtId="0" fontId="13" fillId="9" borderId="4" xfId="0" applyFont="1" applyFill="1" applyBorder="1" applyAlignment="1">
      <alignment horizontal="center" vertical="center"/>
    </xf>
    <xf numFmtId="0" fontId="6" fillId="0" borderId="34" xfId="0" applyFont="1" applyBorder="1" applyAlignment="1">
      <alignment horizontal="center"/>
    </xf>
    <xf numFmtId="0" fontId="7" fillId="0" borderId="34" xfId="0" applyFont="1" applyBorder="1" applyAlignment="1">
      <alignment horizontal="center"/>
    </xf>
    <xf numFmtId="0" fontId="32" fillId="0" borderId="29" xfId="0" applyFont="1" applyBorder="1" applyAlignment="1">
      <alignment horizontal="center"/>
    </xf>
    <xf numFmtId="0" fontId="4" fillId="0" borderId="34" xfId="0" applyFont="1" applyBorder="1"/>
    <xf numFmtId="0" fontId="13" fillId="28" borderId="15" xfId="0" applyFont="1" applyFill="1" applyBorder="1" applyAlignment="1">
      <alignment horizontal="center"/>
    </xf>
    <xf numFmtId="0" fontId="13" fillId="29" borderId="15" xfId="0" applyFont="1" applyFill="1" applyBorder="1" applyAlignment="1">
      <alignment horizontal="center"/>
    </xf>
    <xf numFmtId="0" fontId="13" fillId="12" borderId="33" xfId="0" applyFont="1" applyFill="1" applyBorder="1" applyAlignment="1">
      <alignment horizontal="center"/>
    </xf>
    <xf numFmtId="0" fontId="0" fillId="0" borderId="61" xfId="0" applyBorder="1"/>
    <xf numFmtId="0" fontId="0" fillId="0" borderId="64" xfId="0" applyBorder="1"/>
    <xf numFmtId="0" fontId="7" fillId="20" borderId="21" xfId="0" applyFont="1" applyFill="1" applyBorder="1" applyAlignment="1">
      <alignment horizontal="center"/>
    </xf>
    <xf numFmtId="0" fontId="13" fillId="20" borderId="33" xfId="0" applyFont="1" applyFill="1" applyBorder="1" applyAlignment="1">
      <alignment horizontal="center"/>
    </xf>
    <xf numFmtId="0" fontId="0" fillId="0" borderId="51" xfId="0" applyBorder="1"/>
    <xf numFmtId="0" fontId="13" fillId="42" borderId="33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2" fontId="13" fillId="0" borderId="4" xfId="0" applyNumberFormat="1" applyFont="1" applyBorder="1" applyAlignment="1">
      <alignment horizontal="center" vertical="center"/>
    </xf>
    <xf numFmtId="2" fontId="13" fillId="0" borderId="24" xfId="0" applyNumberFormat="1" applyFont="1" applyBorder="1" applyAlignment="1">
      <alignment horizontal="center" vertical="center"/>
    </xf>
    <xf numFmtId="0" fontId="13" fillId="0" borderId="16" xfId="0" applyFont="1" applyBorder="1" applyAlignment="1">
      <alignment horizontal="center"/>
    </xf>
    <xf numFmtId="2" fontId="13" fillId="0" borderId="5" xfId="0" applyNumberFormat="1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vertical="center"/>
    </xf>
    <xf numFmtId="0" fontId="13" fillId="0" borderId="18" xfId="0" applyFont="1" applyBorder="1"/>
    <xf numFmtId="0" fontId="13" fillId="0" borderId="18" xfId="0" applyFont="1" applyBorder="1" applyAlignment="1">
      <alignment horizontal="center"/>
    </xf>
    <xf numFmtId="2" fontId="13" fillId="0" borderId="5" xfId="0" applyNumberFormat="1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2" fontId="13" fillId="0" borderId="11" xfId="0" applyNumberFormat="1" applyFont="1" applyBorder="1" applyAlignment="1">
      <alignment horizontal="center" vertical="center"/>
    </xf>
    <xf numFmtId="2" fontId="13" fillId="0" borderId="6" xfId="0" applyNumberFormat="1" applyFont="1" applyBorder="1" applyAlignment="1">
      <alignment horizontal="center"/>
    </xf>
    <xf numFmtId="2" fontId="13" fillId="0" borderId="27" xfId="0" applyNumberFormat="1" applyFont="1" applyBorder="1" applyAlignment="1">
      <alignment horizontal="center"/>
    </xf>
    <xf numFmtId="2" fontId="13" fillId="0" borderId="25" xfId="0" applyNumberFormat="1" applyFont="1" applyBorder="1" applyAlignment="1">
      <alignment horizontal="center" vertical="center"/>
    </xf>
    <xf numFmtId="2" fontId="13" fillId="0" borderId="5" xfId="0" applyNumberFormat="1" applyFont="1" applyBorder="1"/>
    <xf numFmtId="2" fontId="13" fillId="0" borderId="10" xfId="0" applyNumberFormat="1" applyFont="1" applyBorder="1"/>
    <xf numFmtId="0" fontId="7" fillId="42" borderId="4" xfId="0" applyFont="1" applyFill="1" applyBorder="1" applyAlignment="1">
      <alignment horizontal="center"/>
    </xf>
    <xf numFmtId="0" fontId="7" fillId="42" borderId="5" xfId="0" applyFont="1" applyFill="1" applyBorder="1" applyAlignment="1">
      <alignment horizontal="center"/>
    </xf>
    <xf numFmtId="0" fontId="14" fillId="42" borderId="5" xfId="0" applyFont="1" applyFill="1" applyBorder="1" applyAlignment="1">
      <alignment horizontal="center"/>
    </xf>
    <xf numFmtId="0" fontId="7" fillId="16" borderId="4" xfId="0" applyFont="1" applyFill="1" applyBorder="1" applyAlignment="1">
      <alignment horizontal="center"/>
    </xf>
    <xf numFmtId="0" fontId="7" fillId="16" borderId="5" xfId="0" applyFont="1" applyFill="1" applyBorder="1" applyAlignment="1">
      <alignment horizontal="center"/>
    </xf>
    <xf numFmtId="0" fontId="0" fillId="0" borderId="37" xfId="0" applyBorder="1"/>
    <xf numFmtId="0" fontId="0" fillId="10" borderId="1" xfId="0" applyFill="1" applyBorder="1" applyAlignment="1">
      <alignment horizontal="center"/>
    </xf>
    <xf numFmtId="0" fontId="0" fillId="40" borderId="1" xfId="0" applyFill="1" applyBorder="1" applyAlignment="1">
      <alignment horizontal="center"/>
    </xf>
    <xf numFmtId="0" fontId="19" fillId="40" borderId="1" xfId="0" applyFont="1" applyFill="1" applyBorder="1" applyAlignment="1">
      <alignment horizontal="center"/>
    </xf>
    <xf numFmtId="14" fontId="28" fillId="0" borderId="0" xfId="0" applyNumberFormat="1" applyFont="1" applyAlignment="1">
      <alignment horizontal="center" vertical="center"/>
    </xf>
    <xf numFmtId="0" fontId="4" fillId="10" borderId="1" xfId="0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4" fillId="21" borderId="2" xfId="0" applyFont="1" applyFill="1" applyBorder="1" applyAlignment="1">
      <alignment horizontal="center"/>
    </xf>
    <xf numFmtId="0" fontId="0" fillId="21" borderId="1" xfId="0" applyFill="1" applyBorder="1" applyAlignment="1">
      <alignment horizontal="center"/>
    </xf>
    <xf numFmtId="0" fontId="19" fillId="40" borderId="2" xfId="0" applyFont="1" applyFill="1" applyBorder="1" applyAlignment="1">
      <alignment horizontal="center"/>
    </xf>
    <xf numFmtId="0" fontId="19" fillId="31" borderId="1" xfId="0" applyFont="1" applyFill="1" applyBorder="1" applyAlignment="1">
      <alignment horizontal="center"/>
    </xf>
    <xf numFmtId="0" fontId="0" fillId="31" borderId="1" xfId="0" applyFill="1" applyBorder="1" applyAlignment="1">
      <alignment horizontal="center"/>
    </xf>
    <xf numFmtId="0" fontId="19" fillId="31" borderId="2" xfId="0" applyFont="1" applyFill="1" applyBorder="1" applyAlignment="1">
      <alignment horizontal="center"/>
    </xf>
    <xf numFmtId="0" fontId="19" fillId="20" borderId="1" xfId="0" applyFont="1" applyFill="1" applyBorder="1" applyAlignment="1">
      <alignment horizontal="center"/>
    </xf>
    <xf numFmtId="0" fontId="4" fillId="22" borderId="2" xfId="0" applyFont="1" applyFill="1" applyBorder="1" applyAlignment="1">
      <alignment horizontal="center"/>
    </xf>
    <xf numFmtId="0" fontId="19" fillId="20" borderId="2" xfId="0" applyFont="1" applyFill="1" applyBorder="1" applyAlignment="1">
      <alignment horizontal="center"/>
    </xf>
    <xf numFmtId="0" fontId="4" fillId="22" borderId="1" xfId="0" applyFont="1" applyFill="1" applyBorder="1" applyAlignment="1">
      <alignment horizontal="center"/>
    </xf>
    <xf numFmtId="0" fontId="0" fillId="0" borderId="65" xfId="0" applyBorder="1"/>
    <xf numFmtId="0" fontId="13" fillId="2" borderId="4" xfId="0" applyFont="1" applyFill="1" applyBorder="1" applyAlignment="1">
      <alignment horizontal="center"/>
    </xf>
    <xf numFmtId="0" fontId="7" fillId="19" borderId="31" xfId="0" applyFont="1" applyFill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2" fontId="13" fillId="0" borderId="37" xfId="0" applyNumberFormat="1" applyFont="1" applyBorder="1" applyAlignment="1">
      <alignment horizontal="center" vertical="center"/>
    </xf>
    <xf numFmtId="2" fontId="13" fillId="0" borderId="30" xfId="0" applyNumberFormat="1" applyFont="1" applyBorder="1" applyAlignment="1">
      <alignment horizontal="center" vertical="center"/>
    </xf>
    <xf numFmtId="2" fontId="13" fillId="0" borderId="28" xfId="0" applyNumberFormat="1" applyFont="1" applyBorder="1" applyAlignment="1">
      <alignment horizontal="center" vertical="center"/>
    </xf>
    <xf numFmtId="164" fontId="13" fillId="0" borderId="4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164" fontId="13" fillId="0" borderId="5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9" fillId="31" borderId="4" xfId="0" applyFont="1" applyFill="1" applyBorder="1" applyAlignment="1">
      <alignment horizontal="center"/>
    </xf>
    <xf numFmtId="2" fontId="13" fillId="0" borderId="2" xfId="0" applyNumberFormat="1" applyFont="1" applyBorder="1" applyAlignment="1">
      <alignment horizontal="center" vertical="center"/>
    </xf>
    <xf numFmtId="0" fontId="19" fillId="20" borderId="5" xfId="0" applyFont="1" applyFill="1" applyBorder="1" applyAlignment="1">
      <alignment horizontal="center"/>
    </xf>
    <xf numFmtId="0" fontId="4" fillId="21" borderId="5" xfId="0" applyFont="1" applyFill="1" applyBorder="1" applyAlignment="1">
      <alignment horizontal="center"/>
    </xf>
    <xf numFmtId="2" fontId="13" fillId="0" borderId="7" xfId="0" applyNumberFormat="1" applyFont="1" applyBorder="1" applyAlignment="1">
      <alignment horizontal="center" vertical="center"/>
    </xf>
    <xf numFmtId="2" fontId="13" fillId="0" borderId="16" xfId="0" applyNumberFormat="1" applyFont="1" applyBorder="1" applyAlignment="1">
      <alignment horizontal="center" vertical="center"/>
    </xf>
    <xf numFmtId="2" fontId="13" fillId="0" borderId="18" xfId="0" applyNumberFormat="1" applyFont="1" applyBorder="1" applyAlignment="1">
      <alignment horizontal="center" vertical="center"/>
    </xf>
    <xf numFmtId="0" fontId="19" fillId="40" borderId="5" xfId="0" applyFont="1" applyFill="1" applyBorder="1" applyAlignment="1">
      <alignment horizontal="center"/>
    </xf>
    <xf numFmtId="0" fontId="4" fillId="10" borderId="6" xfId="0" applyFont="1" applyFill="1" applyBorder="1" applyAlignment="1">
      <alignment horizontal="center" vertical="center"/>
    </xf>
    <xf numFmtId="0" fontId="7" fillId="7" borderId="3" xfId="0" applyFont="1" applyFill="1" applyBorder="1"/>
    <xf numFmtId="0" fontId="4" fillId="31" borderId="4" xfId="0" applyFont="1" applyFill="1" applyBorder="1" applyAlignment="1">
      <alignment horizontal="center"/>
    </xf>
    <xf numFmtId="0" fontId="4" fillId="0" borderId="5" xfId="0" applyFont="1" applyBorder="1"/>
    <xf numFmtId="0" fontId="4" fillId="20" borderId="5" xfId="0" applyFont="1" applyFill="1" applyBorder="1" applyAlignment="1">
      <alignment horizontal="center"/>
    </xf>
    <xf numFmtId="0" fontId="4" fillId="40" borderId="5" xfId="0" applyFont="1" applyFill="1" applyBorder="1" applyAlignment="1">
      <alignment horizontal="center"/>
    </xf>
    <xf numFmtId="0" fontId="7" fillId="15" borderId="31" xfId="0" applyFont="1" applyFill="1" applyBorder="1" applyAlignment="1">
      <alignment horizontal="center" vertical="center"/>
    </xf>
    <xf numFmtId="0" fontId="31" fillId="0" borderId="0" xfId="0" applyFont="1" applyAlignment="1">
      <alignment wrapText="1"/>
    </xf>
    <xf numFmtId="0" fontId="43" fillId="0" borderId="0" xfId="0" applyFont="1" applyAlignment="1">
      <alignment horizontal="center" wrapText="1" readingOrder="1"/>
    </xf>
    <xf numFmtId="0" fontId="31" fillId="0" borderId="0" xfId="0" applyFont="1" applyAlignment="1">
      <alignment horizontal="center" wrapText="1"/>
    </xf>
    <xf numFmtId="0" fontId="44" fillId="0" borderId="1" xfId="0" applyFont="1" applyBorder="1" applyAlignment="1">
      <alignment horizontal="center" wrapText="1" readingOrder="1"/>
    </xf>
    <xf numFmtId="0" fontId="44" fillId="0" borderId="2" xfId="0" applyFont="1" applyBorder="1" applyAlignment="1">
      <alignment horizontal="center" wrapText="1" readingOrder="1"/>
    </xf>
    <xf numFmtId="0" fontId="44" fillId="0" borderId="24" xfId="0" applyFont="1" applyBorder="1" applyAlignment="1">
      <alignment horizontal="center" wrapText="1" readingOrder="1"/>
    </xf>
    <xf numFmtId="0" fontId="44" fillId="0" borderId="10" xfId="0" applyFont="1" applyBorder="1" applyAlignment="1">
      <alignment horizontal="center" wrapText="1" readingOrder="1"/>
    </xf>
    <xf numFmtId="0" fontId="44" fillId="0" borderId="7" xfId="0" applyFont="1" applyBorder="1" applyAlignment="1">
      <alignment horizontal="center" wrapText="1" readingOrder="1"/>
    </xf>
    <xf numFmtId="0" fontId="44" fillId="14" borderId="4" xfId="0" applyFont="1" applyFill="1" applyBorder="1" applyAlignment="1">
      <alignment horizontal="center" vertical="center" wrapText="1" readingOrder="1"/>
    </xf>
    <xf numFmtId="0" fontId="44" fillId="14" borderId="5" xfId="0" applyFont="1" applyFill="1" applyBorder="1" applyAlignment="1">
      <alignment horizontal="center" vertical="center" wrapText="1" readingOrder="1"/>
    </xf>
    <xf numFmtId="0" fontId="44" fillId="14" borderId="6" xfId="0" applyFont="1" applyFill="1" applyBorder="1" applyAlignment="1">
      <alignment horizontal="center" vertical="center" wrapText="1" readingOrder="1"/>
    </xf>
    <xf numFmtId="0" fontId="44" fillId="11" borderId="4" xfId="0" applyFont="1" applyFill="1" applyBorder="1" applyAlignment="1">
      <alignment horizontal="center" vertical="center" wrapText="1" readingOrder="1"/>
    </xf>
    <xf numFmtId="0" fontId="44" fillId="11" borderId="5" xfId="0" applyFont="1" applyFill="1" applyBorder="1" applyAlignment="1">
      <alignment horizontal="center" vertical="center" wrapText="1" readingOrder="1"/>
    </xf>
    <xf numFmtId="0" fontId="44" fillId="11" borderId="6" xfId="0" applyFont="1" applyFill="1" applyBorder="1" applyAlignment="1">
      <alignment horizontal="center" vertical="center" wrapText="1" readingOrder="1"/>
    </xf>
    <xf numFmtId="164" fontId="0" fillId="0" borderId="0" xfId="0" applyNumberFormat="1"/>
    <xf numFmtId="0" fontId="0" fillId="7" borderId="1" xfId="0" applyFill="1" applyBorder="1"/>
    <xf numFmtId="0" fontId="0" fillId="7" borderId="0" xfId="0" applyFill="1"/>
    <xf numFmtId="0" fontId="0" fillId="7" borderId="1" xfId="0" applyFill="1" applyBorder="1" applyAlignment="1">
      <alignment horizontal="center"/>
    </xf>
    <xf numFmtId="0" fontId="8" fillId="0" borderId="0" xfId="0" applyFont="1" applyAlignment="1">
      <alignment horizontal="center"/>
    </xf>
    <xf numFmtId="2" fontId="0" fillId="0" borderId="1" xfId="0" applyNumberFormat="1" applyBorder="1"/>
    <xf numFmtId="0" fontId="44" fillId="0" borderId="28" xfId="0" applyFont="1" applyBorder="1" applyAlignment="1">
      <alignment horizontal="center" wrapText="1" readingOrder="1"/>
    </xf>
    <xf numFmtId="0" fontId="17" fillId="0" borderId="0" xfId="0" applyFont="1" applyAlignment="1">
      <alignment horizontal="left" vertical="top"/>
    </xf>
    <xf numFmtId="165" fontId="0" fillId="0" borderId="0" xfId="0" applyNumberFormat="1" applyAlignment="1">
      <alignment horizontal="center" vertical="center" wrapText="1"/>
    </xf>
    <xf numFmtId="165" fontId="0" fillId="0" borderId="0" xfId="0" applyNumberFormat="1" applyAlignment="1">
      <alignment horizontal="center"/>
    </xf>
    <xf numFmtId="165" fontId="19" fillId="0" borderId="0" xfId="0" applyNumberFormat="1" applyFont="1" applyAlignment="1">
      <alignment horizontal="center" vertical="center" wrapText="1"/>
    </xf>
    <xf numFmtId="0" fontId="8" fillId="0" borderId="0" xfId="0" quotePrefix="1" applyFont="1" applyAlignment="1">
      <alignment horizontal="center"/>
    </xf>
    <xf numFmtId="0" fontId="46" fillId="0" borderId="0" xfId="0" quotePrefix="1" applyFont="1" applyAlignment="1">
      <alignment horizontal="right"/>
    </xf>
    <xf numFmtId="1" fontId="8" fillId="0" borderId="0" xfId="0" applyNumberFormat="1" applyFont="1" applyAlignment="1">
      <alignment horizontal="center"/>
    </xf>
    <xf numFmtId="0" fontId="47" fillId="0" borderId="0" xfId="0" applyFont="1" applyAlignment="1">
      <alignment horizontal="right"/>
    </xf>
    <xf numFmtId="1" fontId="47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/>
    </xf>
    <xf numFmtId="0" fontId="1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5" fontId="9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0" fontId="21" fillId="0" borderId="0" xfId="0" quotePrefix="1" applyFont="1" applyAlignment="1">
      <alignment horizontal="right"/>
    </xf>
    <xf numFmtId="1" fontId="7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 vertical="center" wrapText="1"/>
    </xf>
    <xf numFmtId="165" fontId="6" fillId="0" borderId="0" xfId="0" applyNumberFormat="1" applyFont="1" applyAlignment="1">
      <alignment horizontal="center" vertical="center" wrapText="1"/>
    </xf>
    <xf numFmtId="1" fontId="48" fillId="0" borderId="0" xfId="0" applyNumberFormat="1" applyFont="1"/>
    <xf numFmtId="0" fontId="23" fillId="0" borderId="0" xfId="0" applyFont="1"/>
    <xf numFmtId="164" fontId="23" fillId="0" borderId="0" xfId="0" quotePrefix="1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49" fillId="0" borderId="0" xfId="0" applyFont="1" applyAlignment="1">
      <alignment horizontal="center"/>
    </xf>
    <xf numFmtId="2" fontId="50" fillId="0" borderId="0" xfId="0" applyNumberFormat="1" applyFont="1" applyAlignment="1">
      <alignment horizontal="center"/>
    </xf>
    <xf numFmtId="2" fontId="51" fillId="0" borderId="0" xfId="0" applyNumberFormat="1" applyFont="1" applyAlignment="1">
      <alignment horizontal="center"/>
    </xf>
    <xf numFmtId="167" fontId="0" fillId="0" borderId="0" xfId="0" applyNumberFormat="1" applyAlignment="1">
      <alignment horizontal="center"/>
    </xf>
    <xf numFmtId="164" fontId="4" fillId="0" borderId="0" xfId="0" applyNumberFormat="1" applyFont="1" applyAlignment="1">
      <alignment horizontal="center"/>
    </xf>
    <xf numFmtId="1" fontId="0" fillId="0" borderId="0" xfId="0" applyNumberFormat="1"/>
    <xf numFmtId="2" fontId="52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quotePrefix="1" applyFont="1"/>
    <xf numFmtId="165" fontId="56" fillId="0" borderId="0" xfId="0" applyNumberFormat="1" applyFont="1" applyAlignment="1">
      <alignment horizontal="center"/>
    </xf>
    <xf numFmtId="0" fontId="57" fillId="0" borderId="0" xfId="0" applyFont="1" applyAlignment="1">
      <alignment horizontal="center"/>
    </xf>
    <xf numFmtId="0" fontId="9" fillId="0" borderId="0" xfId="0" applyFont="1"/>
    <xf numFmtId="164" fontId="23" fillId="0" borderId="0" xfId="0" applyNumberFormat="1" applyFont="1"/>
    <xf numFmtId="164" fontId="23" fillId="0" borderId="0" xfId="0" applyNumberFormat="1" applyFont="1" applyAlignment="1">
      <alignment horizontal="center"/>
    </xf>
    <xf numFmtId="0" fontId="58" fillId="0" borderId="0" xfId="0" quotePrefix="1" applyFont="1" applyAlignment="1">
      <alignment horizontal="center"/>
    </xf>
    <xf numFmtId="20" fontId="24" fillId="0" borderId="0" xfId="0" quotePrefix="1" applyNumberFormat="1" applyFont="1" applyAlignment="1">
      <alignment horizontal="right"/>
    </xf>
    <xf numFmtId="2" fontId="32" fillId="0" borderId="0" xfId="0" applyNumberFormat="1" applyFont="1" applyAlignment="1">
      <alignment horizontal="center"/>
    </xf>
    <xf numFmtId="14" fontId="24" fillId="0" borderId="0" xfId="0" quotePrefix="1" applyNumberFormat="1" applyFont="1" applyAlignment="1">
      <alignment horizontal="right"/>
    </xf>
    <xf numFmtId="0" fontId="24" fillId="0" borderId="0" xfId="0" quotePrefix="1" applyFont="1" applyAlignment="1">
      <alignment horizontal="right"/>
    </xf>
    <xf numFmtId="0" fontId="24" fillId="0" borderId="0" xfId="0" applyFont="1" applyAlignment="1">
      <alignment horizontal="right"/>
    </xf>
    <xf numFmtId="1" fontId="24" fillId="0" borderId="0" xfId="0" quotePrefix="1" applyNumberFormat="1" applyFont="1" applyAlignment="1">
      <alignment horizontal="right"/>
    </xf>
    <xf numFmtId="1" fontId="24" fillId="0" borderId="0" xfId="0" applyNumberFormat="1" applyFont="1" applyAlignment="1">
      <alignment horizontal="right"/>
    </xf>
    <xf numFmtId="0" fontId="59" fillId="0" borderId="0" xfId="0" applyFont="1" applyAlignment="1">
      <alignment horizontal="center"/>
    </xf>
    <xf numFmtId="0" fontId="59" fillId="0" borderId="0" xfId="0" applyFont="1"/>
    <xf numFmtId="0" fontId="6" fillId="7" borderId="0" xfId="0" applyFont="1" applyFill="1"/>
    <xf numFmtId="0" fontId="6" fillId="36" borderId="0" xfId="0" applyFont="1" applyFill="1" applyAlignment="1">
      <alignment horizontal="center"/>
    </xf>
    <xf numFmtId="0" fontId="0" fillId="36" borderId="0" xfId="0" applyFill="1" applyAlignment="1">
      <alignment horizontal="right"/>
    </xf>
    <xf numFmtId="0" fontId="44" fillId="0" borderId="2" xfId="0" applyFont="1" applyBorder="1" applyAlignment="1">
      <alignment horizontal="center" vertical="center" wrapText="1" readingOrder="1"/>
    </xf>
    <xf numFmtId="0" fontId="44" fillId="0" borderId="24" xfId="0" applyFont="1" applyBorder="1" applyAlignment="1">
      <alignment horizontal="center" vertical="center" wrapText="1" readingOrder="1"/>
    </xf>
    <xf numFmtId="0" fontId="44" fillId="0" borderId="1" xfId="0" applyFont="1" applyBorder="1" applyAlignment="1">
      <alignment horizontal="center" vertical="center" wrapText="1" readingOrder="1"/>
    </xf>
    <xf numFmtId="0" fontId="44" fillId="0" borderId="10" xfId="0" applyFont="1" applyBorder="1" applyAlignment="1">
      <alignment horizontal="center" vertical="center" wrapText="1" readingOrder="1"/>
    </xf>
    <xf numFmtId="0" fontId="44" fillId="0" borderId="7" xfId="0" applyFont="1" applyBorder="1" applyAlignment="1">
      <alignment horizontal="center" vertical="center" wrapText="1" readingOrder="1"/>
    </xf>
    <xf numFmtId="0" fontId="44" fillId="0" borderId="11" xfId="0" applyFont="1" applyBorder="1" applyAlignment="1">
      <alignment horizontal="center" vertical="center" wrapText="1" readingOrder="1"/>
    </xf>
    <xf numFmtId="0" fontId="0" fillId="22" borderId="0" xfId="0" applyFill="1"/>
    <xf numFmtId="165" fontId="0" fillId="0" borderId="1" xfId="0" applyNumberFormat="1" applyBorder="1" applyAlignment="1">
      <alignment horizontal="left"/>
    </xf>
    <xf numFmtId="1" fontId="0" fillId="0" borderId="1" xfId="0" applyNumberFormat="1" applyBorder="1"/>
    <xf numFmtId="0" fontId="0" fillId="36" borderId="1" xfId="0" applyFill="1" applyBorder="1" applyAlignment="1">
      <alignment horizontal="left"/>
    </xf>
    <xf numFmtId="20" fontId="24" fillId="0" borderId="1" xfId="0" quotePrefix="1" applyNumberFormat="1" applyFont="1" applyBorder="1" applyAlignment="1">
      <alignment horizontal="right"/>
    </xf>
    <xf numFmtId="0" fontId="24" fillId="0" borderId="1" xfId="0" quotePrefix="1" applyFont="1" applyBorder="1" applyAlignment="1">
      <alignment horizontal="right"/>
    </xf>
    <xf numFmtId="14" fontId="24" fillId="0" borderId="1" xfId="0" quotePrefix="1" applyNumberFormat="1" applyFont="1" applyBorder="1" applyAlignment="1">
      <alignment horizontal="right"/>
    </xf>
    <xf numFmtId="1" fontId="0" fillId="22" borderId="1" xfId="0" applyNumberFormat="1" applyFill="1" applyBorder="1"/>
    <xf numFmtId="0" fontId="24" fillId="0" borderId="1" xfId="0" applyFont="1" applyBorder="1" applyAlignment="1">
      <alignment horizontal="right"/>
    </xf>
    <xf numFmtId="1" fontId="24" fillId="0" borderId="1" xfId="0" quotePrefix="1" applyNumberFormat="1" applyFont="1" applyBorder="1" applyAlignment="1">
      <alignment horizontal="right"/>
    </xf>
    <xf numFmtId="1" fontId="24" fillId="0" borderId="1" xfId="0" applyNumberFormat="1" applyFont="1" applyBorder="1" applyAlignment="1">
      <alignment horizontal="right"/>
    </xf>
    <xf numFmtId="0" fontId="0" fillId="17" borderId="1" xfId="0" applyFill="1" applyBorder="1"/>
    <xf numFmtId="0" fontId="0" fillId="10" borderId="1" xfId="0" applyFill="1" applyBorder="1"/>
    <xf numFmtId="0" fontId="0" fillId="7" borderId="1" xfId="0" applyFill="1" applyBorder="1" applyAlignment="1">
      <alignment horizontal="left"/>
    </xf>
    <xf numFmtId="167" fontId="0" fillId="22" borderId="0" xfId="0" applyNumberFormat="1" applyFill="1" applyAlignment="1">
      <alignment horizontal="center"/>
    </xf>
    <xf numFmtId="0" fontId="13" fillId="0" borderId="0" xfId="0" applyFont="1" applyAlignment="1">
      <alignment horizontal="left"/>
    </xf>
    <xf numFmtId="164" fontId="7" fillId="0" borderId="0" xfId="0" applyNumberFormat="1" applyFont="1"/>
    <xf numFmtId="1" fontId="6" fillId="43" borderId="0" xfId="0" applyNumberFormat="1" applyFont="1" applyFill="1" applyAlignment="1">
      <alignment horizontal="center"/>
    </xf>
    <xf numFmtId="0" fontId="47" fillId="0" borderId="0" xfId="0" applyFont="1" applyAlignment="1">
      <alignment vertical="center" wrapText="1"/>
    </xf>
    <xf numFmtId="2" fontId="0" fillId="7" borderId="1" xfId="0" applyNumberFormat="1" applyFill="1" applyBorder="1"/>
    <xf numFmtId="0" fontId="0" fillId="22" borderId="0" xfId="0" applyFill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67" fontId="6" fillId="0" borderId="1" xfId="0" applyNumberFormat="1" applyFont="1" applyBorder="1" applyAlignment="1">
      <alignment horizontal="center"/>
    </xf>
    <xf numFmtId="165" fontId="0" fillId="0" borderId="0" xfId="0" applyNumberFormat="1" applyAlignment="1">
      <alignment horizontal="left"/>
    </xf>
    <xf numFmtId="0" fontId="6" fillId="31" borderId="33" xfId="0" applyFont="1" applyFill="1" applyBorder="1" applyAlignment="1">
      <alignment horizontal="center"/>
    </xf>
    <xf numFmtId="0" fontId="0" fillId="31" borderId="59" xfId="0" applyFill="1" applyBorder="1" applyAlignment="1">
      <alignment horizontal="center"/>
    </xf>
    <xf numFmtId="0" fontId="0" fillId="31" borderId="39" xfId="0" applyFill="1" applyBorder="1" applyAlignment="1">
      <alignment horizontal="center"/>
    </xf>
    <xf numFmtId="0" fontId="0" fillId="7" borderId="31" xfId="0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32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7" borderId="40" xfId="0" applyFill="1" applyBorder="1" applyAlignment="1">
      <alignment horizontal="center"/>
    </xf>
    <xf numFmtId="0" fontId="0" fillId="7" borderId="55" xfId="0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36" borderId="1" xfId="0" applyFill="1" applyBorder="1" applyAlignment="1">
      <alignment horizontal="center"/>
    </xf>
    <xf numFmtId="0" fontId="0" fillId="0" borderId="0" xfId="0" applyAlignment="1">
      <alignment horizontal="center"/>
    </xf>
  </cellXfs>
  <cellStyles count="8">
    <cellStyle name="Bad" xfId="3" builtinId="27"/>
    <cellStyle name="Normal" xfId="0" builtinId="0"/>
    <cellStyle name="Normal 2" xfId="1" xr:uid="{00000000-0005-0000-0000-000001000000}"/>
    <cellStyle name="Normal 2 2" xfId="5" xr:uid="{68B79522-DA52-41D6-A16E-2AAF5B97540B}"/>
    <cellStyle name="Normal 3" xfId="2" xr:uid="{E9B0AF8E-4CD4-4921-98E5-3F25FC85D580}"/>
    <cellStyle name="Normal 3 2" xfId="6" xr:uid="{DC8DB110-AE16-4FF1-B0C1-318D6894FF48}"/>
    <cellStyle name="Normal 4" xfId="4" xr:uid="{183B483A-CDBD-4177-AB81-F5459FCEF24D}"/>
    <cellStyle name="Normal 4 2" xfId="7" xr:uid="{69ACB5F0-C427-4636-8E20-11A1C84BD781}"/>
  </cellStyles>
  <dxfs count="0"/>
  <tableStyles count="0" defaultTableStyle="TableStyleMedium2" defaultPivotStyle="PivotStyleLight16"/>
  <colors>
    <mruColors>
      <color rgb="FFDEBDFF"/>
      <color rgb="FFFFFF4F"/>
      <color rgb="FFB6DF89"/>
      <color rgb="FF159B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sharedStrings" Target="sharedStrings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08816705336426"/>
          <c:y val="4.6099370600915963E-2"/>
          <c:w val="0.70765661252900236"/>
          <c:h val="0.87588804141740328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363-497E-AD93-E1813B91D11D}"/>
            </c:ext>
          </c:extLst>
        </c:ser>
        <c:ser>
          <c:idx val="0"/>
          <c:order val="1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363-497E-AD93-E1813B91D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8891263"/>
        <c:axId val="1"/>
      </c:barChart>
      <c:catAx>
        <c:axId val="14988912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8891263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89301140865202"/>
          <c:y val="0.45001500315958287"/>
          <c:w val="0.14286171467711509"/>
          <c:h val="6.904992111972435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Hydroxyproline Time Course</a:t>
            </a:r>
          </a:p>
        </c:rich>
      </c:tx>
      <c:layout>
        <c:manualLayout>
          <c:xMode val="edge"/>
          <c:yMode val="edge"/>
          <c:x val="0.28309572301425662"/>
          <c:y val="4.6153815678700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63951120162932"/>
          <c:y val="0.16538461538461538"/>
          <c:w val="0.80651731160896134"/>
          <c:h val="0.56923076923076921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2D'!$P$54:$P$56</c:f>
                <c:numCache>
                  <c:formatCode>General</c:formatCode>
                  <c:ptCount val="3"/>
                </c:numCache>
              </c:numRef>
            </c:plus>
            <c:minus>
              <c:numRef>
                <c:f>'Fig 2D'!$P$54:$P$56</c:f>
                <c:numCache>
                  <c:formatCode>General</c:formatCode>
                  <c:ptCount val="3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 2D'!$K$54:$K$56</c:f>
              <c:numCache>
                <c:formatCode>General</c:formatCode>
                <c:ptCount val="3"/>
              </c:numCache>
            </c:numRef>
          </c:xVal>
          <c:yVal>
            <c:numRef>
              <c:f>'Fig 2D'!$L$54:$L$56</c:f>
              <c:numCache>
                <c:formatCode>General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E7-4794-85FC-2492C0F8414F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2D'!$Q$54:$Q$56</c:f>
                <c:numCache>
                  <c:formatCode>General</c:formatCode>
                  <c:ptCount val="3"/>
                </c:numCache>
              </c:numRef>
            </c:plus>
            <c:minus>
              <c:numRef>
                <c:f>'Fig 2D'!$Q$54:$Q$56</c:f>
                <c:numCache>
                  <c:formatCode>General</c:formatCode>
                  <c:ptCount val="3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 2D'!$K$54:$K$56</c:f>
              <c:numCache>
                <c:formatCode>General</c:formatCode>
                <c:ptCount val="3"/>
              </c:numCache>
            </c:numRef>
          </c:xVal>
          <c:yVal>
            <c:numRef>
              <c:f>'Fig 2D'!$M$54:$M$56</c:f>
              <c:numCache>
                <c:formatCode>General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E7-4794-85FC-2492C0F8414F}"/>
            </c:ext>
          </c:extLst>
        </c:ser>
        <c:ser>
          <c:idx val="2"/>
          <c:order val="2"/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2D'!$R$54:$R$56</c:f>
                <c:numCache>
                  <c:formatCode>General</c:formatCode>
                  <c:ptCount val="3"/>
                </c:numCache>
              </c:numRef>
            </c:plus>
            <c:minus>
              <c:numRef>
                <c:f>'Fig 2D'!$R$54:$R$56</c:f>
                <c:numCache>
                  <c:formatCode>General</c:formatCode>
                  <c:ptCount val="3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 2D'!$K$54:$K$56</c:f>
              <c:numCache>
                <c:formatCode>General</c:formatCode>
                <c:ptCount val="3"/>
              </c:numCache>
            </c:numRef>
          </c:xVal>
          <c:yVal>
            <c:numRef>
              <c:f>'Fig 2D'!$N$54:$N$56</c:f>
              <c:numCache>
                <c:formatCode>General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E7-4794-85FC-2492C0F84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8930143"/>
        <c:axId val="1"/>
      </c:scatterChart>
      <c:valAx>
        <c:axId val="1498930143"/>
        <c:scaling>
          <c:orientation val="minMax"/>
          <c:min val="5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(days)</a:t>
                </a:r>
              </a:p>
            </c:rich>
          </c:tx>
          <c:layout>
            <c:manualLayout>
              <c:xMode val="edge"/>
              <c:yMode val="edge"/>
              <c:x val="0.47250509164969451"/>
              <c:y val="0.85384598623285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5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Hydroxyproline (ug/ml)</a:t>
                </a:r>
              </a:p>
            </c:rich>
          </c:tx>
          <c:layout>
            <c:manualLayout>
              <c:xMode val="edge"/>
              <c:yMode val="edge"/>
              <c:x val="3.2586558044806514E-2"/>
              <c:y val="0.16538444015252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8930143"/>
        <c:crossesAt val="5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Modified Standard Curve</a:t>
            </a:r>
          </a:p>
        </c:rich>
      </c:tx>
      <c:layout>
        <c:manualLayout>
          <c:xMode val="edge"/>
          <c:yMode val="edge"/>
          <c:x val="0.32629563974660236"/>
          <c:y val="3.3766136375810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2763915547025"/>
          <c:y val="0.17922100652014827"/>
          <c:w val="0.81765834932821502"/>
          <c:h val="0.6467540670074916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42299978337640615"/>
                  <c:y val="-3.2979808952042625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'Fig 2D'!$Q$6:$Q$11</c:f>
              <c:numCache>
                <c:formatCode>General</c:formatCode>
                <c:ptCount val="6"/>
              </c:numCache>
            </c:numRef>
          </c:xVal>
          <c:yVal>
            <c:numRef>
              <c:f>'Fig 2D'!$R$6:$R$11</c:f>
              <c:numCache>
                <c:formatCode>General</c:formatCode>
                <c:ptCount val="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B3-47D4-8CDC-3AC501A20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8889823"/>
        <c:axId val="1"/>
      </c:scatterChart>
      <c:valAx>
        <c:axId val="149888982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Absorbance</a:t>
                </a:r>
              </a:p>
            </c:rich>
          </c:tx>
          <c:layout>
            <c:manualLayout>
              <c:xMode val="edge"/>
              <c:yMode val="edge"/>
              <c:x val="0.47600761292273025"/>
              <c:y val="0.903897102147945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Hydroxyproline</a:t>
                </a:r>
              </a:p>
            </c:rich>
          </c:tx>
          <c:layout>
            <c:manualLayout>
              <c:xMode val="edge"/>
              <c:yMode val="edge"/>
              <c:x val="3.0710310425856455E-2"/>
              <c:y val="0.38701349831271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8889823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53984575835475"/>
          <c:y val="9.7656436264870194E-2"/>
          <c:w val="0.52699228791773778"/>
          <c:h val="0.8085952922731252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45111835313644927"/>
                  <c:y val="-0.1125535598401950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[6]Sheet1!$A$6:$A$29</c:f>
              <c:numCache>
                <c:formatCode>General</c:formatCode>
                <c:ptCount val="24"/>
                <c:pt idx="0">
                  <c:v>2.4590000000000001</c:v>
                </c:pt>
                <c:pt idx="1">
                  <c:v>2.3370000000000002</c:v>
                </c:pt>
                <c:pt idx="3">
                  <c:v>1.1100000000000001</c:v>
                </c:pt>
                <c:pt idx="4">
                  <c:v>1.1870000000000001</c:v>
                </c:pt>
                <c:pt idx="5">
                  <c:v>1.119</c:v>
                </c:pt>
                <c:pt idx="6">
                  <c:v>0.62</c:v>
                </c:pt>
                <c:pt idx="7">
                  <c:v>0.629</c:v>
                </c:pt>
                <c:pt idx="8">
                  <c:v>0.59899999999999998</c:v>
                </c:pt>
                <c:pt idx="9">
                  <c:v>0.38900000000000001</c:v>
                </c:pt>
                <c:pt idx="10">
                  <c:v>0.36099999999999999</c:v>
                </c:pt>
                <c:pt idx="11">
                  <c:v>0.32600000000000001</c:v>
                </c:pt>
                <c:pt idx="12">
                  <c:v>0.23300000000000001</c:v>
                </c:pt>
                <c:pt idx="13">
                  <c:v>0.24099999999999999</c:v>
                </c:pt>
                <c:pt idx="14">
                  <c:v>0.23100000000000001</c:v>
                </c:pt>
                <c:pt idx="15">
                  <c:v>0.17499999999999999</c:v>
                </c:pt>
                <c:pt idx="16">
                  <c:v>0.17199999999999999</c:v>
                </c:pt>
                <c:pt idx="17">
                  <c:v>0.16800000000000001</c:v>
                </c:pt>
                <c:pt idx="18">
                  <c:v>0.13500000000000001</c:v>
                </c:pt>
                <c:pt idx="19">
                  <c:v>0.13300000000000001</c:v>
                </c:pt>
                <c:pt idx="20">
                  <c:v>0.13600000000000001</c:v>
                </c:pt>
                <c:pt idx="21">
                  <c:v>0.10100000000000001</c:v>
                </c:pt>
                <c:pt idx="22">
                  <c:v>9.5000000000000001E-2</c:v>
                </c:pt>
                <c:pt idx="23">
                  <c:v>8.1000000000000003E-2</c:v>
                </c:pt>
              </c:numCache>
            </c:numRef>
          </c:xVal>
          <c:yVal>
            <c:numRef>
              <c:f>[6]Sheet1!$B$6:$B$29</c:f>
              <c:numCache>
                <c:formatCode>General</c:formatCode>
                <c:ptCount val="24"/>
                <c:pt idx="0">
                  <c:v>400</c:v>
                </c:pt>
                <c:pt idx="1">
                  <c:v>400</c:v>
                </c:pt>
                <c:pt idx="2">
                  <c:v>400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12.5</c:v>
                </c:pt>
                <c:pt idx="16">
                  <c:v>12.5</c:v>
                </c:pt>
                <c:pt idx="17">
                  <c:v>12.5</c:v>
                </c:pt>
                <c:pt idx="18">
                  <c:v>6.25</c:v>
                </c:pt>
                <c:pt idx="19">
                  <c:v>6.25</c:v>
                </c:pt>
                <c:pt idx="20">
                  <c:v>6.25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502-4405-9EFB-D439581C9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5374383"/>
        <c:axId val="1"/>
      </c:scatterChart>
      <c:valAx>
        <c:axId val="1495374383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5374383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319895686030193"/>
          <c:y val="0.55381646430559495"/>
          <c:w val="0.28036877606731109"/>
          <c:h val="0.145574613474613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53984575835475"/>
          <c:y val="9.7656436264870194E-2"/>
          <c:w val="0.52699228791773778"/>
          <c:h val="0.8085952922731252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45111835313644927"/>
                  <c:y val="-0.1125535598401950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[7]Sheet1!$A$6:$A$29</c:f>
              <c:numCache>
                <c:formatCode>General</c:formatCode>
                <c:ptCount val="24"/>
                <c:pt idx="0">
                  <c:v>2.5642</c:v>
                </c:pt>
                <c:pt idx="1">
                  <c:v>2.4853000000000001</c:v>
                </c:pt>
                <c:pt idx="3">
                  <c:v>1.1214</c:v>
                </c:pt>
                <c:pt idx="4">
                  <c:v>1.1385000000000001</c:v>
                </c:pt>
                <c:pt idx="6">
                  <c:v>0.75470000000000004</c:v>
                </c:pt>
                <c:pt idx="7">
                  <c:v>0.68340000000000001</c:v>
                </c:pt>
                <c:pt idx="9">
                  <c:v>0.47349999999999998</c:v>
                </c:pt>
                <c:pt idx="10">
                  <c:v>0.43819999999999998</c:v>
                </c:pt>
                <c:pt idx="12">
                  <c:v>0.28660000000000002</c:v>
                </c:pt>
                <c:pt idx="13">
                  <c:v>0.2742</c:v>
                </c:pt>
                <c:pt idx="15">
                  <c:v>0.19309999999999999</c:v>
                </c:pt>
                <c:pt idx="16">
                  <c:v>0.188</c:v>
                </c:pt>
                <c:pt idx="18">
                  <c:v>0.10249999999999999</c:v>
                </c:pt>
                <c:pt idx="19">
                  <c:v>0.1147</c:v>
                </c:pt>
                <c:pt idx="21">
                  <c:v>8.6199999999999999E-2</c:v>
                </c:pt>
                <c:pt idx="22">
                  <c:v>7.8E-2</c:v>
                </c:pt>
              </c:numCache>
            </c:numRef>
          </c:xVal>
          <c:yVal>
            <c:numRef>
              <c:f>[7]Sheet1!$B$6:$B$29</c:f>
              <c:numCache>
                <c:formatCode>General</c:formatCode>
                <c:ptCount val="24"/>
                <c:pt idx="0">
                  <c:v>400</c:v>
                </c:pt>
                <c:pt idx="1">
                  <c:v>400</c:v>
                </c:pt>
                <c:pt idx="2">
                  <c:v>400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12.5</c:v>
                </c:pt>
                <c:pt idx="16">
                  <c:v>12.5</c:v>
                </c:pt>
                <c:pt idx="17">
                  <c:v>12.5</c:v>
                </c:pt>
                <c:pt idx="18">
                  <c:v>6.25</c:v>
                </c:pt>
                <c:pt idx="19">
                  <c:v>6.25</c:v>
                </c:pt>
                <c:pt idx="20">
                  <c:v>6.25</c:v>
                </c:pt>
                <c:pt idx="21">
                  <c:v>0</c:v>
                </c:pt>
                <c:pt idx="2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0D-4994-943C-ACEB9185F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5372943"/>
        <c:axId val="1"/>
      </c:scatterChart>
      <c:valAx>
        <c:axId val="1495372943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5372943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652316261817211"/>
          <c:y val="0.5509734867899504"/>
          <c:w val="0.28356279062200529"/>
          <c:h val="0.14650162076495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53984575835475"/>
          <c:y val="9.7656436264870194E-2"/>
          <c:w val="0.52699228791773778"/>
          <c:h val="0.8085952922731252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45111835313644927"/>
                  <c:y val="-0.1125535598401950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[8]Sheet1!$A$6:$A$28</c:f>
              <c:numCache>
                <c:formatCode>General</c:formatCode>
                <c:ptCount val="23"/>
                <c:pt idx="0">
                  <c:v>2.194</c:v>
                </c:pt>
                <c:pt idx="1">
                  <c:v>2.6230000000000002</c:v>
                </c:pt>
                <c:pt idx="2">
                  <c:v>2.4500000000000002</c:v>
                </c:pt>
                <c:pt idx="3">
                  <c:v>1.1220000000000001</c:v>
                </c:pt>
                <c:pt idx="4">
                  <c:v>1.167</c:v>
                </c:pt>
                <c:pt idx="5">
                  <c:v>1.163</c:v>
                </c:pt>
                <c:pt idx="6">
                  <c:v>0.70699999999999996</c:v>
                </c:pt>
                <c:pt idx="7">
                  <c:v>0.71699999999999997</c:v>
                </c:pt>
                <c:pt idx="8">
                  <c:v>0.69199999999999995</c:v>
                </c:pt>
                <c:pt idx="9">
                  <c:v>0.59199999999999997</c:v>
                </c:pt>
                <c:pt idx="10">
                  <c:v>0.56100000000000005</c:v>
                </c:pt>
                <c:pt idx="11">
                  <c:v>0.54500000000000004</c:v>
                </c:pt>
                <c:pt idx="12">
                  <c:v>0.40500000000000003</c:v>
                </c:pt>
                <c:pt idx="13">
                  <c:v>0.40500000000000003</c:v>
                </c:pt>
                <c:pt idx="14">
                  <c:v>0.39</c:v>
                </c:pt>
                <c:pt idx="15">
                  <c:v>0.315</c:v>
                </c:pt>
                <c:pt idx="16">
                  <c:v>0.32300000000000001</c:v>
                </c:pt>
                <c:pt idx="17">
                  <c:v>0.32200000000000001</c:v>
                </c:pt>
                <c:pt idx="18">
                  <c:v>0.25</c:v>
                </c:pt>
                <c:pt idx="19">
                  <c:v>0.28199999999999997</c:v>
                </c:pt>
                <c:pt idx="20">
                  <c:v>0.252</c:v>
                </c:pt>
              </c:numCache>
            </c:numRef>
          </c:xVal>
          <c:yVal>
            <c:numRef>
              <c:f>[8]Sheet1!$B$6:$B$28</c:f>
              <c:numCache>
                <c:formatCode>General</c:formatCode>
                <c:ptCount val="23"/>
                <c:pt idx="0">
                  <c:v>400</c:v>
                </c:pt>
                <c:pt idx="1">
                  <c:v>400</c:v>
                </c:pt>
                <c:pt idx="2">
                  <c:v>400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12.5</c:v>
                </c:pt>
                <c:pt idx="16">
                  <c:v>12.5</c:v>
                </c:pt>
                <c:pt idx="17">
                  <c:v>12.5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41D-4AF0-B80C-6EE3B3F14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977152"/>
        <c:axId val="1"/>
      </c:scatterChart>
      <c:valAx>
        <c:axId val="939771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771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511364781413283"/>
          <c:y val="0.53879350795436287"/>
          <c:w val="0.29019677841915104"/>
          <c:h val="0.151025550377631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80791600"/>
        <c:axId val="1"/>
      </c:areaChart>
      <c:catAx>
        <c:axId val="8079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7916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727272727272729"/>
          <c:y val="0.84210526315789469"/>
          <c:w val="0.90909090909090906"/>
          <c:h val="0.526315789473684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08816705336426"/>
          <c:y val="4.0625030994438933E-2"/>
          <c:w val="0.70765661252900236"/>
          <c:h val="0.8906256794934688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Sheet1!#REF!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E-4649-9C44-9B45B34A11A7}"/>
            </c:ext>
          </c:extLst>
        </c:ser>
        <c:ser>
          <c:idx val="0"/>
          <c:order val="1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Sheet1!#REF!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FE-4649-9C44-9B45B34A1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4196464"/>
        <c:axId val="1"/>
      </c:barChart>
      <c:catAx>
        <c:axId val="173419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41964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823705620515119"/>
          <c:y val="0.42858877891735442"/>
          <c:w val="0.12122030462298536"/>
          <c:h val="6.122696841676492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[9]Sheet1!$L$6:$L$64</c:f>
              <c:numCache>
                <c:formatCode>General</c:formatCode>
                <c:ptCount val="59"/>
              </c:numCache>
            </c:numRef>
          </c:val>
          <c:extLst>
            <c:ext xmlns:c16="http://schemas.microsoft.com/office/drawing/2014/chart" uri="{C3380CC4-5D6E-409C-BE32-E72D297353CC}">
              <c16:uniqueId val="{00000000-F95A-4971-9F02-80F0E3761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6014976"/>
        <c:axId val="1"/>
      </c:barChart>
      <c:catAx>
        <c:axId val="172601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60149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743162853344792"/>
          <c:y val="0.44451227163433005"/>
          <c:w val="7.5069745011892883E-2"/>
          <c:h val="0.833460509314368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726013536"/>
        <c:axId val="1"/>
      </c:areaChart>
      <c:catAx>
        <c:axId val="1726013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60135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727272727272729"/>
          <c:y val="0.84210526315789469"/>
          <c:w val="0.90909090909090906"/>
          <c:h val="0.526315789473684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Hydroxyproline Time Course</a:t>
            </a:r>
          </a:p>
        </c:rich>
      </c:tx>
      <c:layout>
        <c:manualLayout>
          <c:xMode val="edge"/>
          <c:yMode val="edge"/>
          <c:x val="0.21710144927536232"/>
          <c:y val="4.61538461538461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63951120162932"/>
          <c:y val="0.16538461538461538"/>
          <c:w val="0.80651731160896134"/>
          <c:h val="0.56923076923076921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[9]Sheet1!$R$54:$R$56</c:f>
                <c:numCache>
                  <c:formatCode>General</c:formatCode>
                  <c:ptCount val="3"/>
                </c:numCache>
              </c:numRef>
            </c:plus>
            <c:minus>
              <c:numRef>
                <c:f>[9]Sheet1!$R$54:$R$56</c:f>
                <c:numCache>
                  <c:formatCode>General</c:formatCode>
                  <c:ptCount val="3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[9]Sheet1!$M$54:$M$56</c:f>
              <c:numCache>
                <c:formatCode>General</c:formatCode>
                <c:ptCount val="3"/>
              </c:numCache>
            </c:numRef>
          </c:xVal>
          <c:yVal>
            <c:numRef>
              <c:f>[9]Sheet1!$N$54:$N$56</c:f>
              <c:numCache>
                <c:formatCode>General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CD-463A-8AAA-F813DD810428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[9]Sheet1!$S$54:$S$56</c:f>
                <c:numCache>
                  <c:formatCode>General</c:formatCode>
                  <c:ptCount val="3"/>
                </c:numCache>
              </c:numRef>
            </c:plus>
            <c:minus>
              <c:numRef>
                <c:f>[9]Sheet1!$S$54:$S$56</c:f>
                <c:numCache>
                  <c:formatCode>General</c:formatCode>
                  <c:ptCount val="3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[9]Sheet1!$M$54:$M$56</c:f>
              <c:numCache>
                <c:formatCode>General</c:formatCode>
                <c:ptCount val="3"/>
              </c:numCache>
            </c:numRef>
          </c:xVal>
          <c:yVal>
            <c:numRef>
              <c:f>[9]Sheet1!$O$54:$O$56</c:f>
              <c:numCache>
                <c:formatCode>General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CD-463A-8AAA-F813DD810428}"/>
            </c:ext>
          </c:extLst>
        </c:ser>
        <c:ser>
          <c:idx val="2"/>
          <c:order val="2"/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[9]Sheet1!$T$54:$T$56</c:f>
                <c:numCache>
                  <c:formatCode>General</c:formatCode>
                  <c:ptCount val="3"/>
                </c:numCache>
              </c:numRef>
            </c:plus>
            <c:minus>
              <c:numRef>
                <c:f>[9]Sheet1!$T$54:$T$56</c:f>
                <c:numCache>
                  <c:formatCode>General</c:formatCode>
                  <c:ptCount val="3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[9]Sheet1!$M$54:$M$56</c:f>
              <c:numCache>
                <c:formatCode>General</c:formatCode>
                <c:ptCount val="3"/>
              </c:numCache>
            </c:numRef>
          </c:xVal>
          <c:yVal>
            <c:numRef>
              <c:f>[9]Sheet1!$P$54:$P$56</c:f>
              <c:numCache>
                <c:formatCode>General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7CD-463A-8AAA-F813DD810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0784912"/>
        <c:axId val="1"/>
      </c:scatterChart>
      <c:valAx>
        <c:axId val="1770784912"/>
        <c:scaling>
          <c:orientation val="minMax"/>
          <c:min val="5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(days)</a:t>
                </a:r>
              </a:p>
            </c:rich>
          </c:tx>
          <c:layout>
            <c:manualLayout>
              <c:xMode val="edge"/>
              <c:yMode val="edge"/>
              <c:x val="0.47250484993723607"/>
              <c:y val="0.853846009633411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5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Hydroxyproline (ug/ml)</a:t>
                </a:r>
              </a:p>
            </c:rich>
          </c:tx>
          <c:layout>
            <c:manualLayout>
              <c:xMode val="edge"/>
              <c:yMode val="edge"/>
              <c:x val="3.2587013579824256E-2"/>
              <c:y val="0.165384471171872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0784912"/>
        <c:crossesAt val="5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D69-4C5B-8ADE-D29D4490D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9036879"/>
        <c:axId val="1"/>
      </c:barChart>
      <c:catAx>
        <c:axId val="14990368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9036879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11006071899326"/>
          <c:y val="0.43752100171129177"/>
          <c:w val="0.13525068043158134"/>
          <c:h val="0.875042003422583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Modified Standard Curve</a:t>
            </a:r>
          </a:p>
        </c:rich>
      </c:tx>
      <c:layout>
        <c:manualLayout>
          <c:xMode val="edge"/>
          <c:yMode val="edge"/>
          <c:x val="0.32629566574448465"/>
          <c:y val="3.3766404199475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2763915547025"/>
          <c:y val="0.17922100652014827"/>
          <c:w val="0.81765834932821502"/>
          <c:h val="0.6467540670074916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42299978337640615"/>
                  <c:y val="-3.2979808952042625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[9]Sheet1!$S$6:$S$11</c:f>
              <c:numCache>
                <c:formatCode>General</c:formatCode>
                <c:ptCount val="6"/>
              </c:numCache>
            </c:numRef>
          </c:xVal>
          <c:yVal>
            <c:numRef>
              <c:f>[9]Sheet1!$T$6:$T$11</c:f>
              <c:numCache>
                <c:formatCode>General</c:formatCode>
                <c:ptCount val="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1C-48B3-AFFA-02FE5AE6E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1209232"/>
        <c:axId val="1"/>
      </c:scatterChart>
      <c:valAx>
        <c:axId val="120120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Absorbance</a:t>
                </a:r>
              </a:p>
            </c:rich>
          </c:tx>
          <c:layout>
            <c:manualLayout>
              <c:xMode val="edge"/>
              <c:yMode val="edge"/>
              <c:x val="0.4760076612045116"/>
              <c:y val="0.891746031746031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Hydroxyproline</a:t>
                </a:r>
              </a:p>
            </c:rich>
          </c:tx>
          <c:layout>
            <c:manualLayout>
              <c:xMode val="edge"/>
              <c:yMode val="edge"/>
              <c:x val="3.0710316615828428E-2"/>
              <c:y val="0.38701349831271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12092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978322391852612E-2"/>
          <c:y val="0.18055427251732103"/>
          <c:w val="0.8894276418381688"/>
          <c:h val="0.7778752886836027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4896237970253718"/>
                  <c:y val="-2.1555847185768445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[9]Sheet1!$A$6:$A$33</c:f>
              <c:numCache>
                <c:formatCode>General</c:formatCode>
                <c:ptCount val="28"/>
                <c:pt idx="0">
                  <c:v>1.9134</c:v>
                </c:pt>
                <c:pt idx="1">
                  <c:v>1.7850999999999999</c:v>
                </c:pt>
                <c:pt idx="3">
                  <c:v>1.1688000000000001</c:v>
                </c:pt>
                <c:pt idx="4">
                  <c:v>1.0227599999999999</c:v>
                </c:pt>
                <c:pt idx="6">
                  <c:v>0.66930000000000001</c:v>
                </c:pt>
                <c:pt idx="7">
                  <c:v>0.66469999999999996</c:v>
                </c:pt>
                <c:pt idx="9">
                  <c:v>0.38300000000000001</c:v>
                </c:pt>
                <c:pt idx="10">
                  <c:v>0.33339999999999997</c:v>
                </c:pt>
                <c:pt idx="12">
                  <c:v>0.1908</c:v>
                </c:pt>
                <c:pt idx="13">
                  <c:v>0.21820000000000001</c:v>
                </c:pt>
                <c:pt idx="15">
                  <c:v>0.14130000000000001</c:v>
                </c:pt>
                <c:pt idx="16">
                  <c:v>0.1409</c:v>
                </c:pt>
                <c:pt idx="18">
                  <c:v>0.11749999999999999</c:v>
                </c:pt>
                <c:pt idx="19">
                  <c:v>0.11020000000000001</c:v>
                </c:pt>
                <c:pt idx="21">
                  <c:v>5.6099999999999997E-2</c:v>
                </c:pt>
                <c:pt idx="22">
                  <c:v>6.59E-2</c:v>
                </c:pt>
              </c:numCache>
            </c:numRef>
          </c:xVal>
          <c:yVal>
            <c:numRef>
              <c:f>[9]Sheet1!$B$6:$B$33</c:f>
              <c:numCache>
                <c:formatCode>General</c:formatCode>
                <c:ptCount val="28"/>
                <c:pt idx="0">
                  <c:v>400</c:v>
                </c:pt>
                <c:pt idx="1">
                  <c:v>400</c:v>
                </c:pt>
                <c:pt idx="2">
                  <c:v>400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12.5</c:v>
                </c:pt>
                <c:pt idx="16">
                  <c:v>12.5</c:v>
                </c:pt>
                <c:pt idx="17">
                  <c:v>12.5</c:v>
                </c:pt>
                <c:pt idx="18">
                  <c:v>6.25</c:v>
                </c:pt>
                <c:pt idx="19">
                  <c:v>6.25</c:v>
                </c:pt>
                <c:pt idx="20">
                  <c:v>6.25</c:v>
                </c:pt>
                <c:pt idx="21">
                  <c:v>0</c:v>
                </c:pt>
                <c:pt idx="2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AFC-42E8-A11D-67D0C3B22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147344"/>
        <c:axId val="1"/>
      </c:scatterChart>
      <c:valAx>
        <c:axId val="1900147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01473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772774160"/>
        <c:axId val="1"/>
      </c:areaChart>
      <c:catAx>
        <c:axId val="1772774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27741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727272727272729"/>
          <c:y val="0.72727272727272729"/>
          <c:w val="0.90909090909090906"/>
          <c:h val="0.454545454545454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331496062992126"/>
                  <c:y val="4.212962962962962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'Supplemental Figure 1'!$A$67:$A$89</c:f>
              <c:numCache>
                <c:formatCode>General</c:formatCode>
                <c:ptCount val="23"/>
                <c:pt idx="0">
                  <c:v>3.206</c:v>
                </c:pt>
                <c:pt idx="1">
                  <c:v>3.0939999999999999</c:v>
                </c:pt>
                <c:pt idx="3">
                  <c:v>1.6554</c:v>
                </c:pt>
                <c:pt idx="4">
                  <c:v>1.669</c:v>
                </c:pt>
                <c:pt idx="6">
                  <c:v>0.76419999999999999</c:v>
                </c:pt>
                <c:pt idx="7">
                  <c:v>0.76029999999999998</c:v>
                </c:pt>
                <c:pt idx="9">
                  <c:v>0.45269999999999999</c:v>
                </c:pt>
                <c:pt idx="10">
                  <c:v>0.45350000000000001</c:v>
                </c:pt>
                <c:pt idx="12">
                  <c:v>0.27739999999999998</c:v>
                </c:pt>
                <c:pt idx="13">
                  <c:v>0.26540000000000002</c:v>
                </c:pt>
                <c:pt idx="15">
                  <c:v>0.1895</c:v>
                </c:pt>
                <c:pt idx="16">
                  <c:v>0.18859999999999999</c:v>
                </c:pt>
                <c:pt idx="18">
                  <c:v>0.121</c:v>
                </c:pt>
                <c:pt idx="19">
                  <c:v>0.13850000000000001</c:v>
                </c:pt>
                <c:pt idx="21">
                  <c:v>7.3200000000000001E-2</c:v>
                </c:pt>
                <c:pt idx="22">
                  <c:v>7.0999999999999994E-2</c:v>
                </c:pt>
              </c:numCache>
            </c:numRef>
          </c:xVal>
          <c:yVal>
            <c:numRef>
              <c:f>'Supplemental Figure 1'!$B$67:$B$89</c:f>
              <c:numCache>
                <c:formatCode>General</c:formatCode>
                <c:ptCount val="23"/>
                <c:pt idx="0">
                  <c:v>400</c:v>
                </c:pt>
                <c:pt idx="1">
                  <c:v>400</c:v>
                </c:pt>
                <c:pt idx="2">
                  <c:v>400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12.5</c:v>
                </c:pt>
                <c:pt idx="16">
                  <c:v>12.5</c:v>
                </c:pt>
                <c:pt idx="17">
                  <c:v>12.5</c:v>
                </c:pt>
                <c:pt idx="18">
                  <c:v>6.25</c:v>
                </c:pt>
                <c:pt idx="19">
                  <c:v>6.25</c:v>
                </c:pt>
                <c:pt idx="20">
                  <c:v>6.25</c:v>
                </c:pt>
                <c:pt idx="21">
                  <c:v>0</c:v>
                </c:pt>
                <c:pt idx="2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40-4ABF-B9BF-8B35DDDE8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7315424"/>
        <c:axId val="1777317344"/>
      </c:scatterChart>
      <c:valAx>
        <c:axId val="1777315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317344"/>
        <c:crosses val="autoZero"/>
        <c:crossBetween val="midCat"/>
      </c:valAx>
      <c:valAx>
        <c:axId val="177731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3154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499035919"/>
        <c:axId val="1"/>
      </c:areaChart>
      <c:catAx>
        <c:axId val="1499035919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9035919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77777777777779"/>
          <c:y val="0.90322580645161288"/>
          <c:w val="0.88888888888888884"/>
          <c:h val="0.51612903225806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Standard Curve</a:t>
            </a:r>
          </a:p>
        </c:rich>
      </c:tx>
      <c:layout>
        <c:manualLayout>
          <c:xMode val="edge"/>
          <c:yMode val="edge"/>
          <c:x val="0.37450241429744946"/>
          <c:y val="3.7452759349963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737067099830268"/>
          <c:y val="0.16853994228384789"/>
          <c:w val="0.79083742261172363"/>
          <c:h val="0.6853957652876481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19500467014187839"/>
                  <c:y val="0.1001472309365023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[2]Sheet1!$A$6:$A$36</c:f>
              <c:numCache>
                <c:formatCode>General</c:formatCode>
                <c:ptCount val="31"/>
                <c:pt idx="0">
                  <c:v>1.62</c:v>
                </c:pt>
                <c:pt idx="1">
                  <c:v>1.869</c:v>
                </c:pt>
                <c:pt idx="4">
                  <c:v>1.036</c:v>
                </c:pt>
                <c:pt idx="5">
                  <c:v>1.042</c:v>
                </c:pt>
                <c:pt idx="8">
                  <c:v>0.56200000000000006</c:v>
                </c:pt>
                <c:pt idx="9">
                  <c:v>0.57599999999999996</c:v>
                </c:pt>
                <c:pt idx="12">
                  <c:v>0.314</c:v>
                </c:pt>
                <c:pt idx="13">
                  <c:v>0.29599999999999999</c:v>
                </c:pt>
                <c:pt idx="16">
                  <c:v>0.17699999999999999</c:v>
                </c:pt>
                <c:pt idx="17">
                  <c:v>0.188</c:v>
                </c:pt>
                <c:pt idx="20">
                  <c:v>0.13100000000000001</c:v>
                </c:pt>
                <c:pt idx="21">
                  <c:v>0.112</c:v>
                </c:pt>
                <c:pt idx="24">
                  <c:v>6.7000000000000004E-2</c:v>
                </c:pt>
                <c:pt idx="25">
                  <c:v>7.2999999999999995E-2</c:v>
                </c:pt>
              </c:numCache>
            </c:numRef>
          </c:xVal>
          <c:yVal>
            <c:numRef>
              <c:f>[2]Sheet1!$B$6:$B$36</c:f>
              <c:numCache>
                <c:formatCode>General</c:formatCode>
                <c:ptCount val="31"/>
                <c:pt idx="0">
                  <c:v>400</c:v>
                </c:pt>
                <c:pt idx="1">
                  <c:v>400</c:v>
                </c:pt>
                <c:pt idx="4">
                  <c:v>200</c:v>
                </c:pt>
                <c:pt idx="5">
                  <c:v>200</c:v>
                </c:pt>
                <c:pt idx="8">
                  <c:v>100</c:v>
                </c:pt>
                <c:pt idx="9">
                  <c:v>100</c:v>
                </c:pt>
                <c:pt idx="12">
                  <c:v>50</c:v>
                </c:pt>
                <c:pt idx="13">
                  <c:v>50</c:v>
                </c:pt>
                <c:pt idx="16">
                  <c:v>25</c:v>
                </c:pt>
                <c:pt idx="17">
                  <c:v>25</c:v>
                </c:pt>
                <c:pt idx="20">
                  <c:v>12.5</c:v>
                </c:pt>
                <c:pt idx="21">
                  <c:v>12.5</c:v>
                </c:pt>
                <c:pt idx="24">
                  <c:v>0</c:v>
                </c:pt>
                <c:pt idx="2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22-49F8-A834-60205E663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5496911"/>
        <c:axId val="1"/>
      </c:scatterChart>
      <c:valAx>
        <c:axId val="14954969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Absorbance</a:t>
                </a:r>
              </a:p>
            </c:rich>
          </c:tx>
          <c:layout>
            <c:manualLayout>
              <c:xMode val="edge"/>
              <c:yMode val="edge"/>
              <c:x val="0.46414397627777443"/>
              <c:y val="0.89513354137819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Hydroxyproline</a:t>
                </a:r>
              </a:p>
            </c:rich>
          </c:tx>
          <c:layout>
            <c:manualLayout>
              <c:xMode val="edge"/>
              <c:yMode val="edge"/>
              <c:x val="2.7888441425737813E-2"/>
              <c:y val="0.303371842299240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5496911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53984575835475"/>
          <c:y val="9.7656436264870194E-2"/>
          <c:w val="0.52699228791773778"/>
          <c:h val="0.8085952922731252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45111835313644927"/>
                  <c:y val="-0.1125535598401950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[3]Sheet1!$A$6:$A$26</c:f>
              <c:numCache>
                <c:formatCode>General</c:formatCode>
                <c:ptCount val="21"/>
                <c:pt idx="0">
                  <c:v>1.6639999999999999</c:v>
                </c:pt>
                <c:pt idx="1">
                  <c:v>1.67</c:v>
                </c:pt>
                <c:pt idx="3">
                  <c:v>0.81100000000000005</c:v>
                </c:pt>
                <c:pt idx="4">
                  <c:v>0.79800000000000004</c:v>
                </c:pt>
                <c:pt idx="6">
                  <c:v>0.44500000000000001</c:v>
                </c:pt>
                <c:pt idx="7">
                  <c:v>0.438</c:v>
                </c:pt>
                <c:pt idx="9">
                  <c:v>0.29399999999999998</c:v>
                </c:pt>
                <c:pt idx="10">
                  <c:v>0.28699999999999998</c:v>
                </c:pt>
                <c:pt idx="12">
                  <c:v>0.17599999999999999</c:v>
                </c:pt>
                <c:pt idx="13">
                  <c:v>0.16300000000000001</c:v>
                </c:pt>
                <c:pt idx="15">
                  <c:v>0.129</c:v>
                </c:pt>
                <c:pt idx="16">
                  <c:v>0.13700000000000001</c:v>
                </c:pt>
                <c:pt idx="18">
                  <c:v>8.5000000000000006E-2</c:v>
                </c:pt>
                <c:pt idx="19">
                  <c:v>8.5999999999999993E-2</c:v>
                </c:pt>
              </c:numCache>
            </c:numRef>
          </c:xVal>
          <c:yVal>
            <c:numRef>
              <c:f>[3]Sheet1!$B$6:$B$26</c:f>
              <c:numCache>
                <c:formatCode>General</c:formatCode>
                <c:ptCount val="21"/>
                <c:pt idx="0">
                  <c:v>400</c:v>
                </c:pt>
                <c:pt idx="1">
                  <c:v>400</c:v>
                </c:pt>
                <c:pt idx="2">
                  <c:v>400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12.5</c:v>
                </c:pt>
                <c:pt idx="16">
                  <c:v>12.5</c:v>
                </c:pt>
                <c:pt idx="17">
                  <c:v>12.5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47-4812-BFBA-DE8F83ADF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5495471"/>
        <c:axId val="1"/>
      </c:scatterChart>
      <c:valAx>
        <c:axId val="149549547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5495471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643531645128161"/>
          <c:y val="0.56091502915922153"/>
          <c:w val="0.28190412296371675"/>
          <c:h val="0.141030064474318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53984575835475"/>
          <c:y val="9.7656436264870194E-2"/>
          <c:w val="0.52699228791773778"/>
          <c:h val="0.8085952922731252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45111835313644927"/>
                  <c:y val="-0.1125535598401950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[4]Sheet1!$A$6:$A$26</c:f>
              <c:numCache>
                <c:formatCode>General</c:formatCode>
                <c:ptCount val="21"/>
                <c:pt idx="0">
                  <c:v>1.1719999999999999</c:v>
                </c:pt>
                <c:pt idx="1">
                  <c:v>1.9159999999999999</c:v>
                </c:pt>
                <c:pt idx="3">
                  <c:v>1.0269999999999999</c:v>
                </c:pt>
                <c:pt idx="4">
                  <c:v>1.052</c:v>
                </c:pt>
                <c:pt idx="6">
                  <c:v>0.58099999999999996</c:v>
                </c:pt>
                <c:pt idx="7">
                  <c:v>0.53700000000000003</c:v>
                </c:pt>
                <c:pt idx="9">
                  <c:v>0.314</c:v>
                </c:pt>
                <c:pt idx="10">
                  <c:v>0.32300000000000001</c:v>
                </c:pt>
                <c:pt idx="12">
                  <c:v>0.20499999999999999</c:v>
                </c:pt>
                <c:pt idx="13">
                  <c:v>0.20799999999999999</c:v>
                </c:pt>
                <c:pt idx="15">
                  <c:v>0.14499999999999999</c:v>
                </c:pt>
                <c:pt idx="16">
                  <c:v>0.13600000000000001</c:v>
                </c:pt>
                <c:pt idx="18">
                  <c:v>8.5000000000000006E-2</c:v>
                </c:pt>
                <c:pt idx="19">
                  <c:v>0.08</c:v>
                </c:pt>
              </c:numCache>
            </c:numRef>
          </c:xVal>
          <c:yVal>
            <c:numRef>
              <c:f>[4]Sheet1!$B$6:$B$26</c:f>
              <c:numCache>
                <c:formatCode>General</c:formatCode>
                <c:ptCount val="21"/>
                <c:pt idx="0">
                  <c:v>400</c:v>
                </c:pt>
                <c:pt idx="1">
                  <c:v>400</c:v>
                </c:pt>
                <c:pt idx="2">
                  <c:v>400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12.5</c:v>
                </c:pt>
                <c:pt idx="16">
                  <c:v>12.5</c:v>
                </c:pt>
                <c:pt idx="17">
                  <c:v>12.5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4A-4E0B-90CF-7E0A6CD1E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9724847"/>
        <c:axId val="1"/>
      </c:scatterChart>
      <c:valAx>
        <c:axId val="1209724847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724847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014888492587208"/>
          <c:y val="0.54168526395432381"/>
          <c:w val="0.27990754341231283"/>
          <c:h val="0.147227276869636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53984575835475"/>
          <c:y val="9.7656436264870194E-2"/>
          <c:w val="0.52699228791773778"/>
          <c:h val="0.8085952922731252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45111835313644927"/>
                  <c:y val="-0.1125535598401950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'Fig 2D'!$A$6:$A$26</c:f>
              <c:numCache>
                <c:formatCode>General</c:formatCode>
                <c:ptCount val="21"/>
                <c:pt idx="0">
                  <c:v>1.4039999999999999</c:v>
                </c:pt>
                <c:pt idx="1">
                  <c:v>1.4350000000000001</c:v>
                </c:pt>
                <c:pt idx="3">
                  <c:v>0.65400000000000003</c:v>
                </c:pt>
                <c:pt idx="4">
                  <c:v>0.70199999999999996</c:v>
                </c:pt>
                <c:pt idx="6">
                  <c:v>0.51500000000000001</c:v>
                </c:pt>
                <c:pt idx="7">
                  <c:v>0.52</c:v>
                </c:pt>
                <c:pt idx="9">
                  <c:v>0.32100000000000001</c:v>
                </c:pt>
                <c:pt idx="10">
                  <c:v>0.32700000000000001</c:v>
                </c:pt>
                <c:pt idx="12">
                  <c:v>0.20499999999999999</c:v>
                </c:pt>
                <c:pt idx="13">
                  <c:v>0.20300000000000001</c:v>
                </c:pt>
                <c:pt idx="15">
                  <c:v>0.14699999999999999</c:v>
                </c:pt>
                <c:pt idx="16">
                  <c:v>0.14199999999999999</c:v>
                </c:pt>
                <c:pt idx="18">
                  <c:v>8.7999999999999995E-2</c:v>
                </c:pt>
                <c:pt idx="19">
                  <c:v>9.0999999999999998E-2</c:v>
                </c:pt>
              </c:numCache>
            </c:numRef>
          </c:xVal>
          <c:yVal>
            <c:numRef>
              <c:f>'Fig 2D'!$B$6:$B$26</c:f>
              <c:numCache>
                <c:formatCode>General</c:formatCode>
                <c:ptCount val="21"/>
                <c:pt idx="0">
                  <c:v>400</c:v>
                </c:pt>
                <c:pt idx="1">
                  <c:v>400</c:v>
                </c:pt>
                <c:pt idx="2">
                  <c:v>400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12.5</c:v>
                </c:pt>
                <c:pt idx="16">
                  <c:v>12.5</c:v>
                </c:pt>
                <c:pt idx="17">
                  <c:v>12.5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7F-46A0-AE7A-8919717FA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4717967"/>
        <c:axId val="1"/>
      </c:scatterChart>
      <c:valAx>
        <c:axId val="1484717967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4717967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650193061095595"/>
          <c:y val="0.54748713328495957"/>
          <c:w val="0.2815147647217327"/>
          <c:h val="0.145574613474613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08816705336426"/>
          <c:y val="4.0625030994438933E-2"/>
          <c:w val="0.70765661252900236"/>
          <c:h val="0.8906256794934688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'Fig 1D'!#REF!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C-484C-A209-E762A23B255D}"/>
            </c:ext>
          </c:extLst>
        </c:ser>
        <c:ser>
          <c:idx val="0"/>
          <c:order val="1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'Fig 1D'!#REF!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7C-484C-A209-E762A23B2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8594815"/>
        <c:axId val="1"/>
      </c:barChart>
      <c:catAx>
        <c:axId val="1498594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8594815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202548168318191"/>
          <c:y val="0.45615471935749013"/>
          <c:w val="0.14133766195259179"/>
          <c:h val="6.04307534191546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498932063"/>
        <c:axId val="1"/>
      </c:areaChart>
      <c:catAx>
        <c:axId val="1498932063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8932063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77777777777779"/>
          <c:y val="0.90322580645161288"/>
          <c:w val="0.88888888888888884"/>
          <c:h val="0.51612903225806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579120</xdr:colOff>
      <xdr:row>177</xdr:row>
      <xdr:rowOff>38100</xdr:rowOff>
    </xdr:from>
    <xdr:to>
      <xdr:col>36</xdr:col>
      <xdr:colOff>586740</xdr:colOff>
      <xdr:row>201</xdr:row>
      <xdr:rowOff>129540</xdr:rowOff>
    </xdr:to>
    <xdr:graphicFrame macro="">
      <xdr:nvGraphicFramePr>
        <xdr:cNvPr id="572605" name="Chart 2">
          <a:extLst>
            <a:ext uri="{FF2B5EF4-FFF2-40B4-BE49-F238E27FC236}">
              <a16:creationId xmlns:a16="http://schemas.microsoft.com/office/drawing/2014/main" id="{00000000-0008-0000-0100-0000BDBC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106680</xdr:colOff>
      <xdr:row>100</xdr:row>
      <xdr:rowOff>0</xdr:rowOff>
    </xdr:from>
    <xdr:to>
      <xdr:col>16</xdr:col>
      <xdr:colOff>91440</xdr:colOff>
      <xdr:row>100</xdr:row>
      <xdr:rowOff>121920</xdr:rowOff>
    </xdr:to>
    <xdr:graphicFrame macro="">
      <xdr:nvGraphicFramePr>
        <xdr:cNvPr id="572606" name="Chart 3">
          <a:extLst>
            <a:ext uri="{FF2B5EF4-FFF2-40B4-BE49-F238E27FC236}">
              <a16:creationId xmlns:a16="http://schemas.microsoft.com/office/drawing/2014/main" id="{00000000-0008-0000-0100-0000BEBC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66</xdr:row>
      <xdr:rowOff>144780</xdr:rowOff>
    </xdr:from>
    <xdr:to>
      <xdr:col>0</xdr:col>
      <xdr:colOff>68580</xdr:colOff>
      <xdr:row>67</xdr:row>
      <xdr:rowOff>38100</xdr:rowOff>
    </xdr:to>
    <xdr:graphicFrame macro="">
      <xdr:nvGraphicFramePr>
        <xdr:cNvPr id="572607" name="Chart 4">
          <a:extLst>
            <a:ext uri="{FF2B5EF4-FFF2-40B4-BE49-F238E27FC236}">
              <a16:creationId xmlns:a16="http://schemas.microsoft.com/office/drawing/2014/main" id="{00000000-0008-0000-0100-0000BFBC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236220</xdr:colOff>
      <xdr:row>3</xdr:row>
      <xdr:rowOff>15240</xdr:rowOff>
    </xdr:from>
    <xdr:to>
      <xdr:col>16</xdr:col>
      <xdr:colOff>160020</xdr:colOff>
      <xdr:row>25</xdr:row>
      <xdr:rowOff>38100</xdr:rowOff>
    </xdr:to>
    <xdr:graphicFrame macro="">
      <xdr:nvGraphicFramePr>
        <xdr:cNvPr id="572608" name="Chart 7">
          <a:extLst>
            <a:ext uri="{FF2B5EF4-FFF2-40B4-BE49-F238E27FC236}">
              <a16:creationId xmlns:a16="http://schemas.microsoft.com/office/drawing/2014/main" id="{00000000-0008-0000-0100-0000C0BC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228600</xdr:colOff>
      <xdr:row>2</xdr:row>
      <xdr:rowOff>25400</xdr:rowOff>
    </xdr:from>
    <xdr:to>
      <xdr:col>29</xdr:col>
      <xdr:colOff>205015</xdr:colOff>
      <xdr:row>16</xdr:row>
      <xdr:rowOff>64407</xdr:rowOff>
    </xdr:to>
    <xdr:pic>
      <xdr:nvPicPr>
        <xdr:cNvPr id="6" name="Picture 7" descr="A picture containing light, lit, night&#10;&#10;Description automatically generated">
          <a:extLst>
            <a:ext uri="{FF2B5EF4-FFF2-40B4-BE49-F238E27FC236}">
              <a16:creationId xmlns:a16="http://schemas.microsoft.com/office/drawing/2014/main" id="{3087C133-5538-4A00-92E4-D49538402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6813550"/>
          <a:ext cx="7291615" cy="2794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273050</xdr:colOff>
      <xdr:row>16</xdr:row>
      <xdr:rowOff>146050</xdr:rowOff>
    </xdr:from>
    <xdr:to>
      <xdr:col>29</xdr:col>
      <xdr:colOff>236765</xdr:colOff>
      <xdr:row>30</xdr:row>
      <xdr:rowOff>115207</xdr:rowOff>
    </xdr:to>
    <xdr:pic>
      <xdr:nvPicPr>
        <xdr:cNvPr id="7" name="Picture 8" descr="A picture containing text&#10;&#10;Description automatically generated">
          <a:extLst>
            <a:ext uri="{FF2B5EF4-FFF2-40B4-BE49-F238E27FC236}">
              <a16:creationId xmlns:a16="http://schemas.microsoft.com/office/drawing/2014/main" id="{D449499E-B843-4D8E-830D-187336EA8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4950" y="9690100"/>
          <a:ext cx="7278915" cy="2686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444500</xdr:colOff>
      <xdr:row>4</xdr:row>
      <xdr:rowOff>38100</xdr:rowOff>
    </xdr:from>
    <xdr:to>
      <xdr:col>17</xdr:col>
      <xdr:colOff>357384</xdr:colOff>
      <xdr:row>8</xdr:row>
      <xdr:rowOff>99484</xdr:rowOff>
    </xdr:to>
    <xdr:sp macro="" textlink="">
      <xdr:nvSpPr>
        <xdr:cNvPr id="8" name="TextBox 9">
          <a:extLst>
            <a:ext uri="{FF2B5EF4-FFF2-40B4-BE49-F238E27FC236}">
              <a16:creationId xmlns:a16="http://schemas.microsoft.com/office/drawing/2014/main" id="{6BE34837-7539-495C-A97A-FC86EC7431DF}"/>
            </a:ext>
          </a:extLst>
        </xdr:cNvPr>
        <xdr:cNvSpPr txBox="1"/>
      </xdr:nvSpPr>
      <xdr:spPr>
        <a:xfrm>
          <a:off x="10007600" y="7219950"/>
          <a:ext cx="1741684" cy="84878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/>
            <a:t>2ug/mL mouse anti-vinculin</a:t>
          </a:r>
        </a:p>
        <a:p>
          <a:r>
            <a:rPr lang="en-US" sz="900"/>
            <a:t>2ug/mL rabbit anti-sorla</a:t>
          </a:r>
        </a:p>
        <a:p>
          <a:endParaRPr lang="en-US" sz="900"/>
        </a:p>
        <a:p>
          <a:r>
            <a:rPr lang="en-US" sz="900"/>
            <a:t>1:20,000 donkey anti-rabbit-800</a:t>
          </a:r>
        </a:p>
        <a:p>
          <a:r>
            <a:rPr lang="en-US" sz="900"/>
            <a:t>1:20,000 goat anti-mouse-700</a:t>
          </a:r>
        </a:p>
      </xdr:txBody>
    </xdr:sp>
    <xdr:clientData/>
  </xdr:twoCellAnchor>
  <xdr:twoCellAnchor>
    <xdr:from>
      <xdr:col>14</xdr:col>
      <xdr:colOff>527050</xdr:colOff>
      <xdr:row>12</xdr:row>
      <xdr:rowOff>57150</xdr:rowOff>
    </xdr:from>
    <xdr:to>
      <xdr:col>17</xdr:col>
      <xdr:colOff>444500</xdr:colOff>
      <xdr:row>14</xdr:row>
      <xdr:rowOff>178399</xdr:rowOff>
    </xdr:to>
    <xdr:sp macro="" textlink="">
      <xdr:nvSpPr>
        <xdr:cNvPr id="9" name="TextBox 18">
          <a:extLst>
            <a:ext uri="{FF2B5EF4-FFF2-40B4-BE49-F238E27FC236}">
              <a16:creationId xmlns:a16="http://schemas.microsoft.com/office/drawing/2014/main" id="{F9639338-6401-47B4-B124-A097AEF9A043}"/>
            </a:ext>
          </a:extLst>
        </xdr:cNvPr>
        <xdr:cNvSpPr txBox="1"/>
      </xdr:nvSpPr>
      <xdr:spPr>
        <a:xfrm>
          <a:off x="10090150" y="8813800"/>
          <a:ext cx="1746250" cy="51494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/>
            <a:t>1:100 mouse anti-sma</a:t>
          </a:r>
        </a:p>
        <a:p>
          <a:endParaRPr lang="en-US" sz="900"/>
        </a:p>
        <a:p>
          <a:r>
            <a:rPr lang="en-US" sz="900"/>
            <a:t>1:20,000 goat anti-mouse-700</a:t>
          </a:r>
        </a:p>
      </xdr:txBody>
    </xdr:sp>
    <xdr:clientData/>
  </xdr:twoCellAnchor>
  <xdr:twoCellAnchor>
    <xdr:from>
      <xdr:col>14</xdr:col>
      <xdr:colOff>444500</xdr:colOff>
      <xdr:row>19</xdr:row>
      <xdr:rowOff>50800</xdr:rowOff>
    </xdr:from>
    <xdr:to>
      <xdr:col>17</xdr:col>
      <xdr:colOff>361950</xdr:colOff>
      <xdr:row>23</xdr:row>
      <xdr:rowOff>61367</xdr:rowOff>
    </xdr:to>
    <xdr:sp macro="" textlink="">
      <xdr:nvSpPr>
        <xdr:cNvPr id="10" name="TextBox 19">
          <a:extLst>
            <a:ext uri="{FF2B5EF4-FFF2-40B4-BE49-F238E27FC236}">
              <a16:creationId xmlns:a16="http://schemas.microsoft.com/office/drawing/2014/main" id="{093018B2-2D2F-4528-8CE3-C1690B8BD41C}"/>
            </a:ext>
          </a:extLst>
        </xdr:cNvPr>
        <xdr:cNvSpPr txBox="1"/>
      </xdr:nvSpPr>
      <xdr:spPr>
        <a:xfrm>
          <a:off x="10007600" y="10185400"/>
          <a:ext cx="1746250" cy="79796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/>
            <a:t>2ug/mL mouse anti-vinculin</a:t>
          </a:r>
        </a:p>
        <a:p>
          <a:r>
            <a:rPr lang="en-US" sz="900"/>
            <a:t>2ug/mL rabbit anti-sorla</a:t>
          </a:r>
        </a:p>
        <a:p>
          <a:endParaRPr lang="en-US" sz="900"/>
        </a:p>
        <a:p>
          <a:r>
            <a:rPr lang="en-US" sz="900"/>
            <a:t>1:20,000 donkey anti-rabbit-800</a:t>
          </a:r>
        </a:p>
        <a:p>
          <a:r>
            <a:rPr lang="en-US" sz="900"/>
            <a:t>1:20,000 goat anti-mouse-700</a:t>
          </a:r>
        </a:p>
      </xdr:txBody>
    </xdr:sp>
    <xdr:clientData/>
  </xdr:twoCellAnchor>
  <xdr:twoCellAnchor>
    <xdr:from>
      <xdr:col>14</xdr:col>
      <xdr:colOff>557894</xdr:colOff>
      <xdr:row>27</xdr:row>
      <xdr:rowOff>30843</xdr:rowOff>
    </xdr:from>
    <xdr:to>
      <xdr:col>17</xdr:col>
      <xdr:colOff>470778</xdr:colOff>
      <xdr:row>29</xdr:row>
      <xdr:rowOff>168106</xdr:rowOff>
    </xdr:to>
    <xdr:sp macro="" textlink="">
      <xdr:nvSpPr>
        <xdr:cNvPr id="11" name="TextBox 20">
          <a:extLst>
            <a:ext uri="{FF2B5EF4-FFF2-40B4-BE49-F238E27FC236}">
              <a16:creationId xmlns:a16="http://schemas.microsoft.com/office/drawing/2014/main" id="{68A12FBA-0A20-44CA-9090-FE8439746576}"/>
            </a:ext>
          </a:extLst>
        </xdr:cNvPr>
        <xdr:cNvSpPr txBox="1"/>
      </xdr:nvSpPr>
      <xdr:spPr>
        <a:xfrm>
          <a:off x="10120994" y="11740243"/>
          <a:ext cx="1741684" cy="49286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/>
            <a:t>1:100 mouse anti-sma</a:t>
          </a:r>
        </a:p>
        <a:p>
          <a:endParaRPr lang="en-US" sz="900"/>
        </a:p>
        <a:p>
          <a:r>
            <a:rPr lang="en-US" sz="900"/>
            <a:t>1:20,000 goat anti-mouse-700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480060</xdr:colOff>
      <xdr:row>4</xdr:row>
      <xdr:rowOff>99060</xdr:rowOff>
    </xdr:from>
    <xdr:to>
      <xdr:col>16</xdr:col>
      <xdr:colOff>83820</xdr:colOff>
      <xdr:row>18</xdr:row>
      <xdr:rowOff>91440</xdr:rowOff>
    </xdr:to>
    <xdr:graphicFrame macro="">
      <xdr:nvGraphicFramePr>
        <xdr:cNvPr id="664617" name="Chart 3">
          <a:extLst>
            <a:ext uri="{FF2B5EF4-FFF2-40B4-BE49-F238E27FC236}">
              <a16:creationId xmlns:a16="http://schemas.microsoft.com/office/drawing/2014/main" id="{00000000-0008-0000-0300-00002924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381000</xdr:colOff>
      <xdr:row>2</xdr:row>
      <xdr:rowOff>12700</xdr:rowOff>
    </xdr:from>
    <xdr:to>
      <xdr:col>14</xdr:col>
      <xdr:colOff>19050</xdr:colOff>
      <xdr:row>16</xdr:row>
      <xdr:rowOff>19050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304800</xdr:colOff>
      <xdr:row>2</xdr:row>
      <xdr:rowOff>22860</xdr:rowOff>
    </xdr:from>
    <xdr:to>
      <xdr:col>14</xdr:col>
      <xdr:colOff>68580</xdr:colOff>
      <xdr:row>16</xdr:row>
      <xdr:rowOff>22860</xdr:rowOff>
    </xdr:to>
    <xdr:graphicFrame macro="">
      <xdr:nvGraphicFramePr>
        <xdr:cNvPr id="1941" name="Chart 3">
          <a:extLst>
            <a:ext uri="{FF2B5EF4-FFF2-40B4-BE49-F238E27FC236}">
              <a16:creationId xmlns:a16="http://schemas.microsoft.com/office/drawing/2014/main" id="{00000000-0008-0000-0700-0000950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518160</xdr:colOff>
      <xdr:row>148</xdr:row>
      <xdr:rowOff>137160</xdr:rowOff>
    </xdr:from>
    <xdr:to>
      <xdr:col>18</xdr:col>
      <xdr:colOff>121920</xdr:colOff>
      <xdr:row>172</xdr:row>
      <xdr:rowOff>22860</xdr:rowOff>
    </xdr:to>
    <xdr:graphicFrame macro="">
      <xdr:nvGraphicFramePr>
        <xdr:cNvPr id="1942" name="Chart 4">
          <a:extLst>
            <a:ext uri="{FF2B5EF4-FFF2-40B4-BE49-F238E27FC236}">
              <a16:creationId xmlns:a16="http://schemas.microsoft.com/office/drawing/2014/main" id="{00000000-0008-0000-0700-0000960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144780</xdr:rowOff>
    </xdr:from>
    <xdr:to>
      <xdr:col>0</xdr:col>
      <xdr:colOff>68580</xdr:colOff>
      <xdr:row>64</xdr:row>
      <xdr:rowOff>38100</xdr:rowOff>
    </xdr:to>
    <xdr:graphicFrame macro="">
      <xdr:nvGraphicFramePr>
        <xdr:cNvPr id="1944" name="Chart 66">
          <a:extLst>
            <a:ext uri="{FF2B5EF4-FFF2-40B4-BE49-F238E27FC236}">
              <a16:creationId xmlns:a16="http://schemas.microsoft.com/office/drawing/2014/main" id="{00000000-0008-0000-0700-0000980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174</xdr:row>
      <xdr:rowOff>0</xdr:rowOff>
    </xdr:from>
    <xdr:to>
      <xdr:col>19</xdr:col>
      <xdr:colOff>45720</xdr:colOff>
      <xdr:row>189</xdr:row>
      <xdr:rowOff>99060</xdr:rowOff>
    </xdr:to>
    <xdr:graphicFrame macro="">
      <xdr:nvGraphicFramePr>
        <xdr:cNvPr id="1945" name="Chart 70">
          <a:extLst>
            <a:ext uri="{FF2B5EF4-FFF2-40B4-BE49-F238E27FC236}">
              <a16:creationId xmlns:a16="http://schemas.microsoft.com/office/drawing/2014/main" id="{00000000-0008-0000-0700-0000990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174</xdr:row>
      <xdr:rowOff>0</xdr:rowOff>
    </xdr:from>
    <xdr:to>
      <xdr:col>10</xdr:col>
      <xdr:colOff>335280</xdr:colOff>
      <xdr:row>197</xdr:row>
      <xdr:rowOff>7620</xdr:rowOff>
    </xdr:to>
    <xdr:graphicFrame macro="">
      <xdr:nvGraphicFramePr>
        <xdr:cNvPr id="1946" name="Chart 68">
          <a:extLst>
            <a:ext uri="{FF2B5EF4-FFF2-40B4-BE49-F238E27FC236}">
              <a16:creationId xmlns:a16="http://schemas.microsoft.com/office/drawing/2014/main" id="{00000000-0008-0000-0700-00009A0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8</xdr:col>
      <xdr:colOff>136781</xdr:colOff>
      <xdr:row>36</xdr:row>
      <xdr:rowOff>116194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609600" y="502920"/>
          <a:ext cx="4403981" cy="5648314"/>
          <a:chOff x="7351181" y="437274"/>
          <a:chExt cx="4403981" cy="5354944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215079" y="1559392"/>
            <a:ext cx="3540083" cy="2116413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214781" y="3681260"/>
            <a:ext cx="3540083" cy="2110958"/>
          </a:xfrm>
          <a:prstGeom prst="rect">
            <a:avLst/>
          </a:prstGeom>
        </xdr:spPr>
      </xdr:pic>
      <xdr:sp macro="" textlink="">
        <xdr:nvSpPr>
          <xdr:cNvPr id="5" name="TextBox 28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SpPr txBox="1"/>
        </xdr:nvSpPr>
        <xdr:spPr>
          <a:xfrm rot="16200000">
            <a:off x="8494935" y="1130908"/>
            <a:ext cx="685800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/>
              <a:t>Input</a:t>
            </a:r>
          </a:p>
        </xdr:txBody>
      </xdr:sp>
      <xdr:sp macro="" textlink="">
        <xdr:nvSpPr>
          <xdr:cNvPr id="6" name="TextBox 29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SpPr txBox="1"/>
        </xdr:nvSpPr>
        <xdr:spPr>
          <a:xfrm rot="16200000">
            <a:off x="8625888" y="967009"/>
            <a:ext cx="1014799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/>
              <a:t>Beads alone</a:t>
            </a:r>
          </a:p>
        </xdr:txBody>
      </xdr:sp>
      <xdr:sp macro="" textlink="">
        <xdr:nvSpPr>
          <xdr:cNvPr id="7" name="TextBox 32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SpPr txBox="1"/>
        </xdr:nvSpPr>
        <xdr:spPr>
          <a:xfrm rot="16200000">
            <a:off x="8991786" y="967010"/>
            <a:ext cx="1014799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/>
              <a:t>WT PAI-1</a:t>
            </a:r>
          </a:p>
        </xdr:txBody>
      </xdr:sp>
      <xdr:sp macro="" textlink="">
        <xdr:nvSpPr>
          <xdr:cNvPr id="8" name="TextBox 33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 txBox="1"/>
        </xdr:nvSpPr>
        <xdr:spPr>
          <a:xfrm rot="16200000">
            <a:off x="9464438" y="1115199"/>
            <a:ext cx="685800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/>
              <a:t>Input</a:t>
            </a:r>
          </a:p>
        </xdr:txBody>
      </xdr:sp>
      <xdr:sp macro="" textlink="">
        <xdr:nvSpPr>
          <xdr:cNvPr id="9" name="TextBox 36">
            <a:extLst>
              <a:ext uri="{FF2B5EF4-FFF2-40B4-BE49-F238E27FC236}">
                <a16:creationId xmlns:a16="http://schemas.microsoft.com/office/drawing/2014/main" id="{00000000-0008-0000-0900-000009000000}"/>
              </a:ext>
            </a:extLst>
          </xdr:cNvPr>
          <xdr:cNvSpPr txBox="1"/>
        </xdr:nvSpPr>
        <xdr:spPr>
          <a:xfrm rot="16200000">
            <a:off x="9620791" y="964000"/>
            <a:ext cx="1014799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/>
              <a:t>Beads alone</a:t>
            </a:r>
          </a:p>
        </xdr:txBody>
      </xdr:sp>
      <xdr:sp macro="" textlink="">
        <xdr:nvSpPr>
          <xdr:cNvPr id="10" name="TextBox 37">
            <a:extLst>
              <a:ext uri="{FF2B5EF4-FFF2-40B4-BE49-F238E27FC236}">
                <a16:creationId xmlns:a16="http://schemas.microsoft.com/office/drawing/2014/main" id="{00000000-0008-0000-0900-00000A000000}"/>
              </a:ext>
            </a:extLst>
          </xdr:cNvPr>
          <xdr:cNvSpPr txBox="1"/>
        </xdr:nvSpPr>
        <xdr:spPr>
          <a:xfrm rot="16200000">
            <a:off x="9923189" y="951301"/>
            <a:ext cx="1014799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/>
              <a:t>WT PAI-1</a:t>
            </a:r>
          </a:p>
        </xdr:txBody>
      </xdr:sp>
      <xdr:sp macro="" textlink="">
        <xdr:nvSpPr>
          <xdr:cNvPr id="11" name="TextBox 38">
            <a:extLst>
              <a:ext uri="{FF2B5EF4-FFF2-40B4-BE49-F238E27FC236}">
                <a16:creationId xmlns:a16="http://schemas.microsoft.com/office/drawing/2014/main" id="{00000000-0008-0000-0900-00000B000000}"/>
              </a:ext>
            </a:extLst>
          </xdr:cNvPr>
          <xdr:cNvSpPr txBox="1"/>
        </xdr:nvSpPr>
        <xdr:spPr>
          <a:xfrm rot="16200000">
            <a:off x="10444069" y="1141225"/>
            <a:ext cx="685800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/>
              <a:t>Input</a:t>
            </a:r>
          </a:p>
        </xdr:txBody>
      </xdr:sp>
      <xdr:sp macro="" textlink="">
        <xdr:nvSpPr>
          <xdr:cNvPr id="12" name="TextBox 39">
            <a:extLst>
              <a:ext uri="{FF2B5EF4-FFF2-40B4-BE49-F238E27FC236}">
                <a16:creationId xmlns:a16="http://schemas.microsoft.com/office/drawing/2014/main" id="{00000000-0008-0000-0900-00000C000000}"/>
              </a:ext>
            </a:extLst>
          </xdr:cNvPr>
          <xdr:cNvSpPr txBox="1"/>
        </xdr:nvSpPr>
        <xdr:spPr>
          <a:xfrm rot="16200000">
            <a:off x="10587722" y="977326"/>
            <a:ext cx="1014799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/>
              <a:t>Beads alone</a:t>
            </a:r>
          </a:p>
        </xdr:txBody>
      </xdr:sp>
      <xdr:sp macro="" textlink="">
        <xdr:nvSpPr>
          <xdr:cNvPr id="13" name="TextBox 40">
            <a:extLst>
              <a:ext uri="{FF2B5EF4-FFF2-40B4-BE49-F238E27FC236}">
                <a16:creationId xmlns:a16="http://schemas.microsoft.com/office/drawing/2014/main" id="{00000000-0008-0000-0900-00000D000000}"/>
              </a:ext>
            </a:extLst>
          </xdr:cNvPr>
          <xdr:cNvSpPr txBox="1"/>
        </xdr:nvSpPr>
        <xdr:spPr>
          <a:xfrm rot="16200000">
            <a:off x="10864720" y="977327"/>
            <a:ext cx="1014799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/>
              <a:t>WT PAI-1</a:t>
            </a:r>
          </a:p>
        </xdr:txBody>
      </xdr:sp>
      <xdr:sp macro="" textlink="">
        <xdr:nvSpPr>
          <xdr:cNvPr id="14" name="TextBox 41"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SpPr txBox="1"/>
        </xdr:nvSpPr>
        <xdr:spPr>
          <a:xfrm>
            <a:off x="8829693" y="451001"/>
            <a:ext cx="863600" cy="33855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600"/>
              <a:t>L0203</a:t>
            </a:r>
          </a:p>
        </xdr:txBody>
      </xdr:sp>
      <xdr:sp macro="" textlink="">
        <xdr:nvSpPr>
          <xdr:cNvPr id="15" name="TextBox 42"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SpPr txBox="1"/>
        </xdr:nvSpPr>
        <xdr:spPr>
          <a:xfrm>
            <a:off x="9757738" y="437274"/>
            <a:ext cx="863600" cy="33855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600"/>
              <a:t>L0229</a:t>
            </a:r>
          </a:p>
        </xdr:txBody>
      </xdr:sp>
      <xdr:sp macro="" textlink="">
        <xdr:nvSpPr>
          <xdr:cNvPr id="16" name="TextBox 43"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SpPr txBox="1"/>
        </xdr:nvSpPr>
        <xdr:spPr>
          <a:xfrm>
            <a:off x="10775153" y="451001"/>
            <a:ext cx="863600" cy="33855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600"/>
              <a:t>L0230</a:t>
            </a:r>
          </a:p>
        </xdr:txBody>
      </xdr:sp>
      <xdr:cxnSp macro="">
        <xdr:nvCxnSpPr>
          <xdr:cNvPr id="17" name="Straight Connector 16">
            <a:extLst>
              <a:ext uri="{FF2B5EF4-FFF2-40B4-BE49-F238E27FC236}">
                <a16:creationId xmlns:a16="http://schemas.microsoft.com/office/drawing/2014/main" id="{00000000-0008-0000-0900-000011000000}"/>
              </a:ext>
            </a:extLst>
          </xdr:cNvPr>
          <xdr:cNvCxnSpPr>
            <a:cxnSpLocks/>
          </xdr:cNvCxnSpPr>
        </xdr:nvCxnSpPr>
        <xdr:spPr>
          <a:xfrm>
            <a:off x="8737666" y="727459"/>
            <a:ext cx="825500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Straight Connector 17"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CxnSpPr>
            <a:cxnSpLocks/>
          </xdr:cNvCxnSpPr>
        </xdr:nvCxnSpPr>
        <xdr:spPr>
          <a:xfrm>
            <a:off x="9757738" y="721879"/>
            <a:ext cx="717890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9" name="Straight Connector 18"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CxnSpPr>
            <a:cxnSpLocks/>
          </xdr:cNvCxnSpPr>
        </xdr:nvCxnSpPr>
        <xdr:spPr>
          <a:xfrm>
            <a:off x="10673869" y="721879"/>
            <a:ext cx="795777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0" name="TextBox 47"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 txBox="1"/>
        </xdr:nvSpPr>
        <xdr:spPr>
          <a:xfrm>
            <a:off x="7351181" y="1635712"/>
            <a:ext cx="863600" cy="33855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600" b="1"/>
              <a:t>SorLA</a:t>
            </a:r>
          </a:p>
        </xdr:txBody>
      </xdr:sp>
      <xdr:sp macro="" textlink="">
        <xdr:nvSpPr>
          <xdr:cNvPr id="21" name="TextBox 48"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 txBox="1"/>
        </xdr:nvSpPr>
        <xdr:spPr>
          <a:xfrm>
            <a:off x="7866583" y="2070274"/>
            <a:ext cx="863600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/>
              <a:t>150</a:t>
            </a:r>
          </a:p>
        </xdr:txBody>
      </xdr:sp>
      <xdr:sp macro="" textlink="">
        <xdr:nvSpPr>
          <xdr:cNvPr id="22" name="TextBox 49"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SpPr txBox="1"/>
        </xdr:nvSpPr>
        <xdr:spPr>
          <a:xfrm>
            <a:off x="7866583" y="1779251"/>
            <a:ext cx="863600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/>
              <a:t>250</a:t>
            </a:r>
          </a:p>
        </xdr:txBody>
      </xdr:sp>
      <xdr:sp macro="" textlink="">
        <xdr:nvSpPr>
          <xdr:cNvPr id="23" name="TextBox 50"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 txBox="1"/>
        </xdr:nvSpPr>
        <xdr:spPr>
          <a:xfrm>
            <a:off x="7866583" y="2338518"/>
            <a:ext cx="863600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/>
              <a:t>100</a:t>
            </a:r>
          </a:p>
        </xdr:txBody>
      </xdr:sp>
      <xdr:sp macro="" textlink="">
        <xdr:nvSpPr>
          <xdr:cNvPr id="24" name="TextBox 51"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SpPr txBox="1"/>
        </xdr:nvSpPr>
        <xdr:spPr>
          <a:xfrm>
            <a:off x="7923634" y="2807293"/>
            <a:ext cx="863600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/>
              <a:t>50</a:t>
            </a:r>
          </a:p>
        </xdr:txBody>
      </xdr:sp>
      <xdr:sp macro="" textlink="">
        <xdr:nvSpPr>
          <xdr:cNvPr id="25" name="TextBox 52">
            <a:extLst>
              <a:ext uri="{FF2B5EF4-FFF2-40B4-BE49-F238E27FC236}">
                <a16:creationId xmlns:a16="http://schemas.microsoft.com/office/drawing/2014/main" id="{00000000-0008-0000-0900-000019000000}"/>
              </a:ext>
            </a:extLst>
          </xdr:cNvPr>
          <xdr:cNvSpPr txBox="1"/>
        </xdr:nvSpPr>
        <xdr:spPr>
          <a:xfrm>
            <a:off x="7923634" y="3060940"/>
            <a:ext cx="863600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/>
              <a:t>37</a:t>
            </a:r>
          </a:p>
        </xdr:txBody>
      </xdr:sp>
    </xdr:grpSp>
    <xdr:clientData/>
  </xdr:twoCellAnchor>
  <xdr:twoCellAnchor>
    <xdr:from>
      <xdr:col>10</xdr:col>
      <xdr:colOff>0</xdr:colOff>
      <xdr:row>5</xdr:row>
      <xdr:rowOff>1781</xdr:rowOff>
    </xdr:from>
    <xdr:to>
      <xdr:col>14</xdr:col>
      <xdr:colOff>590963</xdr:colOff>
      <xdr:row>15</xdr:row>
      <xdr:rowOff>14719</xdr:rowOff>
    </xdr:to>
    <xdr:sp macro="" textlink="">
      <xdr:nvSpPr>
        <xdr:cNvPr id="26" name="TextBox 30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 txBox="1"/>
      </xdr:nvSpPr>
      <xdr:spPr>
        <a:xfrm>
          <a:off x="6096000" y="795531"/>
          <a:ext cx="3029363" cy="160043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u="sng"/>
            <a:t>Human Lung Lysates</a:t>
          </a:r>
          <a:endParaRPr lang="en-US" sz="1400"/>
        </a:p>
        <a:p>
          <a:r>
            <a:rPr lang="en-US" sz="1400"/>
            <a:t>20 mM Tris-HCl, pH 8.0</a:t>
          </a:r>
        </a:p>
        <a:p>
          <a:r>
            <a:rPr lang="en-US" sz="1400"/>
            <a:t>140 nM NaCl</a:t>
          </a:r>
        </a:p>
        <a:p>
          <a:r>
            <a:rPr lang="en-US" sz="1400"/>
            <a:t>10 mM CaCl2</a:t>
          </a:r>
        </a:p>
        <a:p>
          <a:r>
            <a:rPr lang="en-US" sz="1400"/>
            <a:t>10% Glycerol</a:t>
          </a:r>
        </a:p>
        <a:p>
          <a:r>
            <a:rPr lang="en-US" sz="1400"/>
            <a:t>1% NP40</a:t>
          </a:r>
        </a:p>
        <a:p>
          <a:r>
            <a:rPr lang="en-US" sz="1400"/>
            <a:t>1X protease inhibitor (EDTA free)</a:t>
          </a:r>
        </a:p>
      </xdr:txBody>
    </xdr:sp>
    <xdr:clientData/>
  </xdr:twoCellAnchor>
  <xdr:twoCellAnchor>
    <xdr:from>
      <xdr:col>14</xdr:col>
      <xdr:colOff>249032</xdr:colOff>
      <xdr:row>25</xdr:row>
      <xdr:rowOff>111156</xdr:rowOff>
    </xdr:from>
    <xdr:to>
      <xdr:col>18</xdr:col>
      <xdr:colOff>292599</xdr:colOff>
      <xdr:row>34</xdr:row>
      <xdr:rowOff>67401</xdr:rowOff>
    </xdr:to>
    <xdr:sp macro="" textlink="">
      <xdr:nvSpPr>
        <xdr:cNvPr id="27" name="TextBox 31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 txBox="1"/>
      </xdr:nvSpPr>
      <xdr:spPr>
        <a:xfrm>
          <a:off x="8783432" y="4079906"/>
          <a:ext cx="2481967" cy="138499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u="sng"/>
            <a:t>Membrane scan</a:t>
          </a:r>
        </a:p>
        <a:p>
          <a:r>
            <a:rPr lang="en-US" sz="1400"/>
            <a:t>Image: 0005150_01</a:t>
          </a:r>
        </a:p>
        <a:p>
          <a:r>
            <a:rPr lang="en-US" sz="1400"/>
            <a:t>Channels: 800 (gr), 700 (red)</a:t>
          </a:r>
        </a:p>
        <a:p>
          <a:r>
            <a:rPr lang="en-US" sz="1400"/>
            <a:t>Quality: Medium</a:t>
          </a:r>
        </a:p>
        <a:p>
          <a:r>
            <a:rPr lang="en-US" sz="1400"/>
            <a:t>Resolution: 84 um</a:t>
          </a:r>
        </a:p>
        <a:p>
          <a:r>
            <a:rPr lang="en-US" sz="1400"/>
            <a:t>Intensity: Auto</a:t>
          </a:r>
        </a:p>
      </xdr:txBody>
    </xdr:sp>
    <xdr:clientData/>
  </xdr:twoCellAnchor>
  <xdr:twoCellAnchor>
    <xdr:from>
      <xdr:col>10</xdr:col>
      <xdr:colOff>9493</xdr:colOff>
      <xdr:row>15</xdr:row>
      <xdr:rowOff>144385</xdr:rowOff>
    </xdr:from>
    <xdr:to>
      <xdr:col>14</xdr:col>
      <xdr:colOff>53059</xdr:colOff>
      <xdr:row>30</xdr:row>
      <xdr:rowOff>9904</xdr:rowOff>
    </xdr:to>
    <xdr:sp macro="" textlink="">
      <xdr:nvSpPr>
        <xdr:cNvPr id="28" name="TextBox 34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 txBox="1"/>
      </xdr:nvSpPr>
      <xdr:spPr>
        <a:xfrm>
          <a:off x="6105493" y="2525635"/>
          <a:ext cx="2481966" cy="224676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u="sng"/>
            <a:t>Pulldown: </a:t>
          </a:r>
        </a:p>
        <a:p>
          <a:r>
            <a:rPr lang="en-US" sz="1400"/>
            <a:t>50 uL streptavidin beads</a:t>
          </a:r>
        </a:p>
        <a:p>
          <a:r>
            <a:rPr lang="en-US" sz="1400"/>
            <a:t>10 ug WT PAI-1-biotinylated</a:t>
          </a:r>
        </a:p>
        <a:p>
          <a:r>
            <a:rPr lang="en-US" sz="1400"/>
            <a:t>200 ug lysate</a:t>
          </a:r>
        </a:p>
        <a:p>
          <a:endParaRPr lang="en-US" sz="1400"/>
        </a:p>
        <a:p>
          <a:r>
            <a:rPr lang="en-US" sz="1400"/>
            <a:t>50 ug input</a:t>
          </a:r>
        </a:p>
        <a:p>
          <a:endParaRPr lang="en-US" sz="1400"/>
        </a:p>
        <a:p>
          <a:r>
            <a:rPr lang="en-US" sz="1400"/>
            <a:t>Wash: </a:t>
          </a:r>
        </a:p>
        <a:p>
          <a:r>
            <a:rPr lang="en-US" sz="1400"/>
            <a:t>50 mM Tris, pH 7.4</a:t>
          </a:r>
        </a:p>
        <a:p>
          <a:r>
            <a:rPr lang="en-US" sz="1400"/>
            <a:t>150 mM NaCl</a:t>
          </a:r>
        </a:p>
      </xdr:txBody>
    </xdr:sp>
    <xdr:clientData/>
  </xdr:twoCellAnchor>
  <xdr:twoCellAnchor>
    <xdr:from>
      <xdr:col>14</xdr:col>
      <xdr:colOff>249032</xdr:colOff>
      <xdr:row>5</xdr:row>
      <xdr:rowOff>0</xdr:rowOff>
    </xdr:from>
    <xdr:to>
      <xdr:col>21</xdr:col>
      <xdr:colOff>79796</xdr:colOff>
      <xdr:row>23</xdr:row>
      <xdr:rowOff>35600</xdr:rowOff>
    </xdr:to>
    <xdr:sp macro="" textlink="">
      <xdr:nvSpPr>
        <xdr:cNvPr id="29" name="TextBox 35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 txBox="1"/>
      </xdr:nvSpPr>
      <xdr:spPr>
        <a:xfrm>
          <a:off x="8783432" y="793750"/>
          <a:ext cx="4097964" cy="28931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u="sng"/>
            <a:t>WB:</a:t>
          </a:r>
        </a:p>
        <a:p>
          <a:r>
            <a:rPr lang="en-US" sz="1400"/>
            <a:t>4-15% TGX mini protean gel</a:t>
          </a:r>
        </a:p>
        <a:p>
          <a:r>
            <a:rPr lang="en-US" sz="1400"/>
            <a:t>80V/400mA</a:t>
          </a:r>
        </a:p>
        <a:p>
          <a:r>
            <a:rPr lang="en-US" sz="1400"/>
            <a:t>100V/400mA- 2h</a:t>
          </a:r>
        </a:p>
        <a:p>
          <a:endParaRPr lang="en-US" sz="1400"/>
        </a:p>
        <a:p>
          <a:r>
            <a:rPr lang="en-US" sz="1400"/>
            <a:t>Nitrocellulose membrane</a:t>
          </a:r>
        </a:p>
        <a:p>
          <a:r>
            <a:rPr lang="en-US" sz="1400"/>
            <a:t>1X tris/glycine + 20% methanol</a:t>
          </a:r>
        </a:p>
        <a:p>
          <a:r>
            <a:rPr lang="en-US" sz="1400"/>
            <a:t>O/N, 4C (cold room + on ice)</a:t>
          </a:r>
        </a:p>
        <a:p>
          <a:endParaRPr lang="en-US" sz="1400"/>
        </a:p>
        <a:p>
          <a:r>
            <a:rPr lang="en-US" sz="1400"/>
            <a:t>Block- 1h, room temp</a:t>
          </a:r>
        </a:p>
        <a:p>
          <a:r>
            <a:rPr lang="en-US" sz="1400"/>
            <a:t>SorLA 1ab (abcam, r) @ 1:1K in licor -O/N, 4C</a:t>
          </a:r>
        </a:p>
        <a:p>
          <a:endParaRPr lang="en-US" sz="1400"/>
        </a:p>
        <a:p>
          <a:r>
            <a:rPr lang="en-US" sz="1400"/>
            <a:t>DαR- 800/green (licor) @ 1:20K in licor- 1h room temp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548886</xdr:colOff>
      <xdr:row>18</xdr:row>
      <xdr:rowOff>97897</xdr:rowOff>
    </xdr:from>
    <xdr:to>
      <xdr:col>4</xdr:col>
      <xdr:colOff>414200</xdr:colOff>
      <xdr:row>25</xdr:row>
      <xdr:rowOff>42859</xdr:rowOff>
    </xdr:to>
    <xdr:sp macro="" textlink="">
      <xdr:nvSpPr>
        <xdr:cNvPr id="3" name="TextBox 26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2377686" y="2850622"/>
          <a:ext cx="474914" cy="10784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olidFill>
                <a:srgbClr val="FFFF00"/>
              </a:solidFill>
            </a:rPr>
            <a:t>250</a:t>
          </a:r>
        </a:p>
        <a:p>
          <a:endParaRPr lang="en-US" sz="900" b="1">
            <a:solidFill>
              <a:srgbClr val="FFFF00"/>
            </a:solidFill>
          </a:endParaRPr>
        </a:p>
        <a:p>
          <a:r>
            <a:rPr lang="en-US" sz="900" b="1">
              <a:solidFill>
                <a:srgbClr val="FFFF00"/>
              </a:solidFill>
            </a:rPr>
            <a:t>150</a:t>
          </a:r>
        </a:p>
        <a:p>
          <a:endParaRPr lang="en-US" sz="900" b="1">
            <a:solidFill>
              <a:srgbClr val="FFFF00"/>
            </a:solidFill>
          </a:endParaRPr>
        </a:p>
        <a:p>
          <a:r>
            <a:rPr lang="en-US" sz="900" b="1">
              <a:solidFill>
                <a:srgbClr val="FFFF00"/>
              </a:solidFill>
            </a:rPr>
            <a:t>100</a:t>
          </a:r>
        </a:p>
        <a:p>
          <a:endParaRPr lang="en-US" sz="900" b="1">
            <a:solidFill>
              <a:srgbClr val="FFFF00"/>
            </a:solidFill>
          </a:endParaRPr>
        </a:p>
        <a:p>
          <a:r>
            <a:rPr lang="en-US" sz="900" b="1">
              <a:solidFill>
                <a:srgbClr val="FFFF00"/>
              </a:solidFill>
            </a:rPr>
            <a:t>75</a:t>
          </a:r>
        </a:p>
      </xdr:txBody>
    </xdr:sp>
    <xdr:clientData/>
  </xdr:twoCellAnchor>
  <xdr:twoCellAnchor>
    <xdr:from>
      <xdr:col>3</xdr:col>
      <xdr:colOff>532077</xdr:colOff>
      <xdr:row>28</xdr:row>
      <xdr:rowOff>9584</xdr:rowOff>
    </xdr:from>
    <xdr:to>
      <xdr:col>4</xdr:col>
      <xdr:colOff>354809</xdr:colOff>
      <xdr:row>33</xdr:row>
      <xdr:rowOff>137522</xdr:rowOff>
    </xdr:to>
    <xdr:sp macro="" textlink="">
      <xdr:nvSpPr>
        <xdr:cNvPr id="5" name="TextBox 27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 txBox="1"/>
      </xdr:nvSpPr>
      <xdr:spPr>
        <a:xfrm>
          <a:off x="2360877" y="4381559"/>
          <a:ext cx="432332" cy="93756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>
              <a:solidFill>
                <a:srgbClr val="FFFF00"/>
              </a:solidFill>
            </a:rPr>
            <a:t>50</a:t>
          </a:r>
        </a:p>
        <a:p>
          <a:endParaRPr lang="en-US" sz="900">
            <a:solidFill>
              <a:srgbClr val="FFFF00"/>
            </a:solidFill>
          </a:endParaRPr>
        </a:p>
        <a:p>
          <a:r>
            <a:rPr lang="en-US" sz="900">
              <a:solidFill>
                <a:srgbClr val="FFFF00"/>
              </a:solidFill>
            </a:rPr>
            <a:t>37</a:t>
          </a:r>
        </a:p>
        <a:p>
          <a:endParaRPr lang="en-US" sz="900">
            <a:solidFill>
              <a:srgbClr val="FFFF00"/>
            </a:solidFill>
          </a:endParaRPr>
        </a:p>
        <a:p>
          <a:endParaRPr lang="en-US" sz="900">
            <a:solidFill>
              <a:srgbClr val="FFFF00"/>
            </a:solidFill>
          </a:endParaRPr>
        </a:p>
        <a:p>
          <a:r>
            <a:rPr lang="en-US" sz="900">
              <a:solidFill>
                <a:srgbClr val="FFFF00"/>
              </a:solidFill>
            </a:rPr>
            <a:t>25</a:t>
          </a:r>
        </a:p>
      </xdr:txBody>
    </xdr:sp>
    <xdr:clientData/>
  </xdr:twoCellAnchor>
  <xdr:twoCellAnchor>
    <xdr:from>
      <xdr:col>4</xdr:col>
      <xdr:colOff>531681</xdr:colOff>
      <xdr:row>26</xdr:row>
      <xdr:rowOff>12513</xdr:rowOff>
    </xdr:from>
    <xdr:to>
      <xdr:col>11</xdr:col>
      <xdr:colOff>507605</xdr:colOff>
      <xdr:row>27</xdr:row>
      <xdr:rowOff>91259</xdr:rowOff>
    </xdr:to>
    <xdr:sp macro="" textlink="">
      <xdr:nvSpPr>
        <xdr:cNvPr id="7" name="TextBox 28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/>
      </xdr:nvSpPr>
      <xdr:spPr>
        <a:xfrm>
          <a:off x="2970081" y="4060638"/>
          <a:ext cx="4243124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>
              <a:solidFill>
                <a:srgbClr val="FFFF00"/>
              </a:solidFill>
            </a:rPr>
            <a:t>107     102       98        29     33       153                 81         99       160     40      156      158</a:t>
          </a:r>
        </a:p>
      </xdr:txBody>
    </xdr:sp>
    <xdr:clientData/>
  </xdr:twoCellAnchor>
  <xdr:twoCellAnchor>
    <xdr:from>
      <xdr:col>4</xdr:col>
      <xdr:colOff>531681</xdr:colOff>
      <xdr:row>35</xdr:row>
      <xdr:rowOff>104588</xdr:rowOff>
    </xdr:from>
    <xdr:to>
      <xdr:col>11</xdr:col>
      <xdr:colOff>507605</xdr:colOff>
      <xdr:row>37</xdr:row>
      <xdr:rowOff>13943</xdr:rowOff>
    </xdr:to>
    <xdr:sp macro="" textlink="">
      <xdr:nvSpPr>
        <xdr:cNvPr id="8" name="TextBox 28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 txBox="1"/>
      </xdr:nvSpPr>
      <xdr:spPr>
        <a:xfrm>
          <a:off x="2970081" y="5610038"/>
          <a:ext cx="4243124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>
              <a:solidFill>
                <a:srgbClr val="FFFF00"/>
              </a:solidFill>
            </a:rPr>
            <a:t>107     102       98        29     33       153                 81         99       160     40       156      158</a:t>
          </a:r>
        </a:p>
      </xdr:txBody>
    </xdr:sp>
    <xdr:clientData/>
  </xdr:twoCellAnchor>
  <xdr:twoCellAnchor>
    <xdr:from>
      <xdr:col>13</xdr:col>
      <xdr:colOff>607881</xdr:colOff>
      <xdr:row>25</xdr:row>
      <xdr:rowOff>47438</xdr:rowOff>
    </xdr:from>
    <xdr:to>
      <xdr:col>20</xdr:col>
      <xdr:colOff>583805</xdr:colOff>
      <xdr:row>26</xdr:row>
      <xdr:rowOff>126425</xdr:rowOff>
    </xdr:to>
    <xdr:sp macro="" textlink="">
      <xdr:nvSpPr>
        <xdr:cNvPr id="9" name="TextBox 2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/>
      </xdr:nvSpPr>
      <xdr:spPr>
        <a:xfrm>
          <a:off x="8532681" y="3933638"/>
          <a:ext cx="4243124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/>
            <a:t>107     102       98        29     33       153                 81         99       160      40       156      158</a:t>
          </a:r>
        </a:p>
      </xdr:txBody>
    </xdr:sp>
    <xdr:clientData/>
  </xdr:twoCellAnchor>
  <xdr:twoCellAnchor>
    <xdr:from>
      <xdr:col>13</xdr:col>
      <xdr:colOff>607881</xdr:colOff>
      <xdr:row>34</xdr:row>
      <xdr:rowOff>139513</xdr:rowOff>
    </xdr:from>
    <xdr:to>
      <xdr:col>20</xdr:col>
      <xdr:colOff>583805</xdr:colOff>
      <xdr:row>36</xdr:row>
      <xdr:rowOff>48868</xdr:rowOff>
    </xdr:to>
    <xdr:sp macro="" textlink="">
      <xdr:nvSpPr>
        <xdr:cNvPr id="10" name="TextBox 28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 txBox="1"/>
      </xdr:nvSpPr>
      <xdr:spPr>
        <a:xfrm>
          <a:off x="8532681" y="5483038"/>
          <a:ext cx="4243124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/>
            <a:t>107     102       98        29     33       153                 81         99       160      40       156      158</a:t>
          </a:r>
        </a:p>
      </xdr:txBody>
    </xdr:sp>
    <xdr:clientData/>
  </xdr:twoCellAnchor>
  <xdr:twoCellAnchor>
    <xdr:from>
      <xdr:col>1</xdr:col>
      <xdr:colOff>129626</xdr:colOff>
      <xdr:row>33</xdr:row>
      <xdr:rowOff>19132</xdr:rowOff>
    </xdr:from>
    <xdr:to>
      <xdr:col>4</xdr:col>
      <xdr:colOff>39072</xdr:colOff>
      <xdr:row>36</xdr:row>
      <xdr:rowOff>48306</xdr:rowOff>
    </xdr:to>
    <xdr:sp macro="" textlink="">
      <xdr:nvSpPr>
        <xdr:cNvPr id="11" name="TextBox 24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739226" y="5572207"/>
          <a:ext cx="1738246" cy="51494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/>
            <a:t>1:100 mouse anti-sma</a:t>
          </a:r>
        </a:p>
        <a:p>
          <a:endParaRPr lang="en-US" sz="900"/>
        </a:p>
        <a:p>
          <a:r>
            <a:rPr lang="en-US" sz="900"/>
            <a:t>1:20,000 goat anti-mouse-700</a:t>
          </a:r>
        </a:p>
      </xdr:txBody>
    </xdr:sp>
    <xdr:clientData/>
  </xdr:twoCellAnchor>
  <xdr:twoCellAnchor>
    <xdr:from>
      <xdr:col>1</xdr:col>
      <xdr:colOff>0</xdr:colOff>
      <xdr:row>21</xdr:row>
      <xdr:rowOff>108325</xdr:rowOff>
    </xdr:from>
    <xdr:to>
      <xdr:col>3</xdr:col>
      <xdr:colOff>519046</xdr:colOff>
      <xdr:row>26</xdr:row>
      <xdr:rowOff>95393</xdr:rowOff>
    </xdr:to>
    <xdr:sp macro="" textlink="">
      <xdr:nvSpPr>
        <xdr:cNvPr id="12" name="TextBox 25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609600" y="3718300"/>
          <a:ext cx="1738246" cy="79669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/>
            <a:t>2ug/mL mouse anti-vinculin</a:t>
          </a:r>
        </a:p>
        <a:p>
          <a:r>
            <a:rPr lang="en-US" sz="900"/>
            <a:t>2ug/mL rabbit anti-sorla</a:t>
          </a:r>
        </a:p>
        <a:p>
          <a:endParaRPr lang="en-US" sz="900"/>
        </a:p>
        <a:p>
          <a:r>
            <a:rPr lang="en-US" sz="900"/>
            <a:t>1:20,000 donkey anti-rabbit-800</a:t>
          </a:r>
        </a:p>
        <a:p>
          <a:r>
            <a:rPr lang="en-US" sz="900"/>
            <a:t>1:20,000 goat anti-mouse-700</a:t>
          </a:r>
        </a:p>
      </xdr:txBody>
    </xdr:sp>
    <xdr:clientData/>
  </xdr:twoCellAnchor>
  <xdr:twoCellAnchor>
    <xdr:from>
      <xdr:col>12</xdr:col>
      <xdr:colOff>450461</xdr:colOff>
      <xdr:row>21</xdr:row>
      <xdr:rowOff>139172</xdr:rowOff>
    </xdr:from>
    <xdr:to>
      <xdr:col>13</xdr:col>
      <xdr:colOff>315775</xdr:colOff>
      <xdr:row>28</xdr:row>
      <xdr:rowOff>91795</xdr:rowOff>
    </xdr:to>
    <xdr:sp macro="" textlink="">
      <xdr:nvSpPr>
        <xdr:cNvPr id="4" name="TextBox 26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7765661" y="3749147"/>
          <a:ext cx="474914" cy="10784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/>
            <a:t>250</a:t>
          </a:r>
        </a:p>
        <a:p>
          <a:endParaRPr lang="en-US" sz="900" b="1"/>
        </a:p>
        <a:p>
          <a:r>
            <a:rPr lang="en-US" sz="900" b="1"/>
            <a:t>150</a:t>
          </a:r>
        </a:p>
        <a:p>
          <a:endParaRPr lang="en-US" sz="900" b="1"/>
        </a:p>
        <a:p>
          <a:r>
            <a:rPr lang="en-US" sz="900" b="1"/>
            <a:t>100</a:t>
          </a:r>
        </a:p>
        <a:p>
          <a:endParaRPr lang="en-US" sz="900" b="1"/>
        </a:p>
        <a:p>
          <a:r>
            <a:rPr lang="en-US" sz="900" b="1"/>
            <a:t>75</a:t>
          </a:r>
        </a:p>
      </xdr:txBody>
    </xdr:sp>
    <xdr:clientData/>
  </xdr:twoCellAnchor>
  <xdr:twoCellAnchor>
    <xdr:from>
      <xdr:col>12</xdr:col>
      <xdr:colOff>420952</xdr:colOff>
      <xdr:row>31</xdr:row>
      <xdr:rowOff>121979</xdr:rowOff>
    </xdr:from>
    <xdr:to>
      <xdr:col>13</xdr:col>
      <xdr:colOff>243684</xdr:colOff>
      <xdr:row>37</xdr:row>
      <xdr:rowOff>80340</xdr:rowOff>
    </xdr:to>
    <xdr:sp macro="" textlink="">
      <xdr:nvSpPr>
        <xdr:cNvPr id="6" name="TextBox 27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7736152" y="5343584"/>
          <a:ext cx="432332" cy="93756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/>
            <a:t>50</a:t>
          </a:r>
        </a:p>
        <a:p>
          <a:endParaRPr lang="en-US" sz="900"/>
        </a:p>
        <a:p>
          <a:r>
            <a:rPr lang="en-US" sz="900"/>
            <a:t>37</a:t>
          </a:r>
        </a:p>
        <a:p>
          <a:endParaRPr lang="en-US" sz="900"/>
        </a:p>
        <a:p>
          <a:endParaRPr lang="en-US" sz="900"/>
        </a:p>
        <a:p>
          <a:r>
            <a:rPr lang="en-US" sz="900"/>
            <a:t>25</a:t>
          </a:r>
        </a:p>
      </xdr:txBody>
    </xdr:sp>
    <xdr:clientData/>
  </xdr:twoCellAnchor>
  <xdr:twoCellAnchor>
    <xdr:from>
      <xdr:col>20</xdr:col>
      <xdr:colOff>514350</xdr:colOff>
      <xdr:row>22</xdr:row>
      <xdr:rowOff>3550</xdr:rowOff>
    </xdr:from>
    <xdr:to>
      <xdr:col>23</xdr:col>
      <xdr:colOff>423796</xdr:colOff>
      <xdr:row>23</xdr:row>
      <xdr:rowOff>88413</xdr:rowOff>
    </xdr:to>
    <xdr:sp macro="" textlink="">
      <xdr:nvSpPr>
        <xdr:cNvPr id="14" name="TextBox 2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3630275" y="3813550"/>
          <a:ext cx="1738246" cy="23936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ym typeface="Symbol" panose="05050102010706020507" pitchFamily="18" charset="2"/>
            </a:rPr>
            <a:t></a:t>
          </a:r>
          <a:r>
            <a:rPr lang="en-US" sz="900" b="1"/>
            <a:t>  SorlA</a:t>
          </a:r>
        </a:p>
      </xdr:txBody>
    </xdr:sp>
    <xdr:clientData/>
  </xdr:twoCellAnchor>
  <xdr:twoCellAnchor>
    <xdr:from>
      <xdr:col>20</xdr:col>
      <xdr:colOff>514350</xdr:colOff>
      <xdr:row>32</xdr:row>
      <xdr:rowOff>108325</xdr:rowOff>
    </xdr:from>
    <xdr:to>
      <xdr:col>23</xdr:col>
      <xdr:colOff>423796</xdr:colOff>
      <xdr:row>34</xdr:row>
      <xdr:rowOff>23836</xdr:rowOff>
    </xdr:to>
    <xdr:sp macro="" textlink="">
      <xdr:nvSpPr>
        <xdr:cNvPr id="15" name="TextBox 25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3630275" y="5537575"/>
          <a:ext cx="1738246" cy="23936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ym typeface="Symbol" panose="05050102010706020507" pitchFamily="18" charset="2"/>
            </a:rPr>
            <a:t> </a:t>
          </a:r>
          <a:r>
            <a:rPr lang="en-US" sz="900" b="1"/>
            <a:t>SMA</a:t>
          </a:r>
        </a:p>
      </xdr:txBody>
    </xdr:sp>
    <xdr:clientData/>
  </xdr:twoCellAnchor>
  <xdr:twoCellAnchor>
    <xdr:from>
      <xdr:col>20</xdr:col>
      <xdr:colOff>514350</xdr:colOff>
      <xdr:row>25</xdr:row>
      <xdr:rowOff>163570</xdr:rowOff>
    </xdr:from>
    <xdr:to>
      <xdr:col>23</xdr:col>
      <xdr:colOff>423796</xdr:colOff>
      <xdr:row>27</xdr:row>
      <xdr:rowOff>71705</xdr:rowOff>
    </xdr:to>
    <xdr:sp macro="" textlink="">
      <xdr:nvSpPr>
        <xdr:cNvPr id="16" name="TextBox 2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13630275" y="4451725"/>
          <a:ext cx="1738246" cy="23936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>
              <a:sym typeface="Symbol" panose="05050102010706020507" pitchFamily="18" charset="2"/>
            </a:rPr>
            <a:t></a:t>
          </a:r>
          <a:r>
            <a:rPr lang="en-US" sz="900" b="1" baseline="0">
              <a:sym typeface="Symbol" panose="05050102010706020507" pitchFamily="18" charset="2"/>
            </a:rPr>
            <a:t> </a:t>
          </a:r>
          <a:r>
            <a:rPr lang="en-US" sz="900" b="1"/>
            <a:t>Vinculin</a:t>
          </a:r>
        </a:p>
      </xdr:txBody>
    </xdr:sp>
    <xdr:clientData/>
  </xdr:twoCellAnchor>
  <xdr:twoCellAnchor editAs="oneCell">
    <xdr:from>
      <xdr:col>3</xdr:col>
      <xdr:colOff>177800</xdr:colOff>
      <xdr:row>17</xdr:row>
      <xdr:rowOff>79375</xdr:rowOff>
    </xdr:from>
    <xdr:to>
      <xdr:col>10</xdr:col>
      <xdr:colOff>276859</xdr:colOff>
      <xdr:row>39</xdr:row>
      <xdr:rowOff>152400</xdr:rowOff>
    </xdr:to>
    <xdr:pic>
      <xdr:nvPicPr>
        <xdr:cNvPr id="2" name="Picture 1" descr="A picture containing text, clock, green, display&#10;&#10;Description automatically generated">
          <a:extLst>
            <a:ext uri="{FF2B5EF4-FFF2-40B4-BE49-F238E27FC236}">
              <a16:creationId xmlns:a16="http://schemas.microsoft.com/office/drawing/2014/main" id="{2E6B4608-F27B-4049-A299-7A0EF1731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6600" y="3057525"/>
          <a:ext cx="5394960" cy="356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434426</xdr:colOff>
      <xdr:row>32</xdr:row>
      <xdr:rowOff>78187</xdr:rowOff>
    </xdr:from>
    <xdr:to>
      <xdr:col>3</xdr:col>
      <xdr:colOff>343872</xdr:colOff>
      <xdr:row>35</xdr:row>
      <xdr:rowOff>107361</xdr:rowOff>
    </xdr:to>
    <xdr:sp macro="" textlink="">
      <xdr:nvSpPr>
        <xdr:cNvPr id="13" name="TextBox 24">
          <a:extLst>
            <a:ext uri="{FF2B5EF4-FFF2-40B4-BE49-F238E27FC236}">
              <a16:creationId xmlns:a16="http://schemas.microsoft.com/office/drawing/2014/main" id="{5A461095-6F2B-4F42-8B79-991FE387E67A}"/>
            </a:ext>
          </a:extLst>
        </xdr:cNvPr>
        <xdr:cNvSpPr txBox="1"/>
      </xdr:nvSpPr>
      <xdr:spPr>
        <a:xfrm>
          <a:off x="434426" y="5437587"/>
          <a:ext cx="1738246" cy="50542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/>
            <a:t>1:100 mouse anti-sma</a:t>
          </a:r>
        </a:p>
        <a:p>
          <a:endParaRPr lang="en-US" sz="900"/>
        </a:p>
        <a:p>
          <a:r>
            <a:rPr lang="en-US" sz="900"/>
            <a:t>1:20,000 goat anti-mouse-700</a:t>
          </a:r>
        </a:p>
      </xdr:txBody>
    </xdr:sp>
    <xdr:clientData/>
  </xdr:twoCellAnchor>
  <xdr:twoCellAnchor>
    <xdr:from>
      <xdr:col>0</xdr:col>
      <xdr:colOff>304800</xdr:colOff>
      <xdr:row>21</xdr:row>
      <xdr:rowOff>5455</xdr:rowOff>
    </xdr:from>
    <xdr:to>
      <xdr:col>3</xdr:col>
      <xdr:colOff>214246</xdr:colOff>
      <xdr:row>25</xdr:row>
      <xdr:rowOff>154448</xdr:rowOff>
    </xdr:to>
    <xdr:sp macro="" textlink="">
      <xdr:nvSpPr>
        <xdr:cNvPr id="17" name="TextBox 25">
          <a:extLst>
            <a:ext uri="{FF2B5EF4-FFF2-40B4-BE49-F238E27FC236}">
              <a16:creationId xmlns:a16="http://schemas.microsoft.com/office/drawing/2014/main" id="{F8E8BE61-EB64-4B1C-ACAB-53F6E78B144E}"/>
            </a:ext>
          </a:extLst>
        </xdr:cNvPr>
        <xdr:cNvSpPr txBox="1"/>
      </xdr:nvSpPr>
      <xdr:spPr>
        <a:xfrm>
          <a:off x="304800" y="3618605"/>
          <a:ext cx="1738246" cy="78399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/>
            <a:t>2ug/mL mouse anti-vinculin</a:t>
          </a:r>
        </a:p>
        <a:p>
          <a:r>
            <a:rPr lang="en-US" sz="900"/>
            <a:t>2ug/mL rabbit anti-sorla</a:t>
          </a:r>
        </a:p>
        <a:p>
          <a:endParaRPr lang="en-US" sz="900"/>
        </a:p>
        <a:p>
          <a:r>
            <a:rPr lang="en-US" sz="900"/>
            <a:t>1:20,000 donkey anti-rabbit-800</a:t>
          </a:r>
        </a:p>
        <a:p>
          <a:r>
            <a:rPr lang="en-US" sz="900"/>
            <a:t>1:20,000 goat anti-mouse-700</a:t>
          </a:r>
        </a:p>
      </xdr:txBody>
    </xdr:sp>
    <xdr:clientData/>
  </xdr:twoCellAnchor>
  <xdr:twoCellAnchor editAs="oneCell">
    <xdr:from>
      <xdr:col>12</xdr:col>
      <xdr:colOff>101600</xdr:colOff>
      <xdr:row>17</xdr:row>
      <xdr:rowOff>53975</xdr:rowOff>
    </xdr:from>
    <xdr:to>
      <xdr:col>20</xdr:col>
      <xdr:colOff>518730</xdr:colOff>
      <xdr:row>39</xdr:row>
      <xdr:rowOff>127000</xdr:rowOff>
    </xdr:to>
    <xdr:pic>
      <xdr:nvPicPr>
        <xdr:cNvPr id="18" name="Picture 12" descr="A picture containing white&#10;&#10;Description automatically generated">
          <a:extLst>
            <a:ext uri="{FF2B5EF4-FFF2-40B4-BE49-F238E27FC236}">
              <a16:creationId xmlns:a16="http://schemas.microsoft.com/office/drawing/2014/main" id="{6185FCB6-7911-4E33-8E4F-2C3D7ACD9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0" y="3032125"/>
          <a:ext cx="5295900" cy="356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235899</xdr:colOff>
      <xdr:row>41</xdr:row>
      <xdr:rowOff>25400</xdr:rowOff>
    </xdr:from>
    <xdr:to>
      <xdr:col>29</xdr:col>
      <xdr:colOff>201001</xdr:colOff>
      <xdr:row>55</xdr:row>
      <xdr:rowOff>39007</xdr:rowOff>
    </xdr:to>
    <xdr:pic>
      <xdr:nvPicPr>
        <xdr:cNvPr id="19" name="Picture 7" descr="A picture containing light, lit, night&#10;&#10;Description automatically generated">
          <a:extLst>
            <a:ext uri="{FF2B5EF4-FFF2-40B4-BE49-F238E27FC236}">
              <a16:creationId xmlns:a16="http://schemas.microsoft.com/office/drawing/2014/main" id="{5E777A54-AD37-4A17-985F-A65CC45D8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0497" y="6886320"/>
          <a:ext cx="7322343" cy="2772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273050</xdr:colOff>
      <xdr:row>55</xdr:row>
      <xdr:rowOff>146050</xdr:rowOff>
    </xdr:from>
    <xdr:to>
      <xdr:col>29</xdr:col>
      <xdr:colOff>225452</xdr:colOff>
      <xdr:row>69</xdr:row>
      <xdr:rowOff>77107</xdr:rowOff>
    </xdr:to>
    <xdr:pic>
      <xdr:nvPicPr>
        <xdr:cNvPr id="20" name="Picture 8" descr="A picture containing text&#10;&#10;Description automatically generated">
          <a:extLst>
            <a:ext uri="{FF2B5EF4-FFF2-40B4-BE49-F238E27FC236}">
              <a16:creationId xmlns:a16="http://schemas.microsoft.com/office/drawing/2014/main" id="{9B8E1BE8-30FE-4F5E-8BEB-487443541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4950" y="9690100"/>
          <a:ext cx="7278915" cy="2686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444500</xdr:colOff>
      <xdr:row>43</xdr:row>
      <xdr:rowOff>38100</xdr:rowOff>
    </xdr:from>
    <xdr:to>
      <xdr:col>17</xdr:col>
      <xdr:colOff>357384</xdr:colOff>
      <xdr:row>47</xdr:row>
      <xdr:rowOff>99484</xdr:rowOff>
    </xdr:to>
    <xdr:sp macro="" textlink="">
      <xdr:nvSpPr>
        <xdr:cNvPr id="21" name="TextBox 9">
          <a:extLst>
            <a:ext uri="{FF2B5EF4-FFF2-40B4-BE49-F238E27FC236}">
              <a16:creationId xmlns:a16="http://schemas.microsoft.com/office/drawing/2014/main" id="{A3CCACCC-9A67-4943-8ACA-9D2B0FC58B52}"/>
            </a:ext>
          </a:extLst>
        </xdr:cNvPr>
        <xdr:cNvSpPr txBox="1"/>
      </xdr:nvSpPr>
      <xdr:spPr>
        <a:xfrm>
          <a:off x="10007600" y="7219950"/>
          <a:ext cx="1741684" cy="84878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/>
            <a:t>2ug/mL mouse anti-vinculin</a:t>
          </a:r>
        </a:p>
        <a:p>
          <a:r>
            <a:rPr lang="en-US" sz="900"/>
            <a:t>2ug/mL rabbit anti-sorla</a:t>
          </a:r>
        </a:p>
        <a:p>
          <a:endParaRPr lang="en-US" sz="900"/>
        </a:p>
        <a:p>
          <a:r>
            <a:rPr lang="en-US" sz="900"/>
            <a:t>1:20,000 donkey anti-rabbit-800</a:t>
          </a:r>
        </a:p>
        <a:p>
          <a:r>
            <a:rPr lang="en-US" sz="900"/>
            <a:t>1:20,000 goat anti-mouse-700</a:t>
          </a:r>
        </a:p>
      </xdr:txBody>
    </xdr:sp>
    <xdr:clientData/>
  </xdr:twoCellAnchor>
  <xdr:twoCellAnchor>
    <xdr:from>
      <xdr:col>14</xdr:col>
      <xdr:colOff>527050</xdr:colOff>
      <xdr:row>51</xdr:row>
      <xdr:rowOff>57150</xdr:rowOff>
    </xdr:from>
    <xdr:to>
      <xdr:col>17</xdr:col>
      <xdr:colOff>444500</xdr:colOff>
      <xdr:row>53</xdr:row>
      <xdr:rowOff>178399</xdr:rowOff>
    </xdr:to>
    <xdr:sp macro="" textlink="">
      <xdr:nvSpPr>
        <xdr:cNvPr id="22" name="TextBox 18">
          <a:extLst>
            <a:ext uri="{FF2B5EF4-FFF2-40B4-BE49-F238E27FC236}">
              <a16:creationId xmlns:a16="http://schemas.microsoft.com/office/drawing/2014/main" id="{429C2610-4388-4C39-B677-3F605920FF27}"/>
            </a:ext>
          </a:extLst>
        </xdr:cNvPr>
        <xdr:cNvSpPr txBox="1"/>
      </xdr:nvSpPr>
      <xdr:spPr>
        <a:xfrm>
          <a:off x="10090150" y="8813800"/>
          <a:ext cx="1746250" cy="51494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/>
            <a:t>1:100 mouse anti-sma</a:t>
          </a:r>
        </a:p>
        <a:p>
          <a:endParaRPr lang="en-US" sz="900"/>
        </a:p>
        <a:p>
          <a:r>
            <a:rPr lang="en-US" sz="900"/>
            <a:t>1:20,000 goat anti-mouse-700</a:t>
          </a:r>
        </a:p>
      </xdr:txBody>
    </xdr:sp>
    <xdr:clientData/>
  </xdr:twoCellAnchor>
  <xdr:twoCellAnchor>
    <xdr:from>
      <xdr:col>14</xdr:col>
      <xdr:colOff>444500</xdr:colOff>
      <xdr:row>58</xdr:row>
      <xdr:rowOff>50800</xdr:rowOff>
    </xdr:from>
    <xdr:to>
      <xdr:col>17</xdr:col>
      <xdr:colOff>361950</xdr:colOff>
      <xdr:row>62</xdr:row>
      <xdr:rowOff>61367</xdr:rowOff>
    </xdr:to>
    <xdr:sp macro="" textlink="">
      <xdr:nvSpPr>
        <xdr:cNvPr id="23" name="TextBox 19">
          <a:extLst>
            <a:ext uri="{FF2B5EF4-FFF2-40B4-BE49-F238E27FC236}">
              <a16:creationId xmlns:a16="http://schemas.microsoft.com/office/drawing/2014/main" id="{56254F33-47AC-4F45-9B6C-1C051BF63CC8}"/>
            </a:ext>
          </a:extLst>
        </xdr:cNvPr>
        <xdr:cNvSpPr txBox="1"/>
      </xdr:nvSpPr>
      <xdr:spPr>
        <a:xfrm>
          <a:off x="10007600" y="10185400"/>
          <a:ext cx="1746250" cy="79796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/>
            <a:t>2ug/mL mouse anti-vinculin</a:t>
          </a:r>
        </a:p>
        <a:p>
          <a:r>
            <a:rPr lang="en-US" sz="900"/>
            <a:t>2ug/mL rabbit anti-sorla</a:t>
          </a:r>
        </a:p>
        <a:p>
          <a:endParaRPr lang="en-US" sz="900"/>
        </a:p>
        <a:p>
          <a:r>
            <a:rPr lang="en-US" sz="900"/>
            <a:t>1:20,000 donkey anti-rabbit-800</a:t>
          </a:r>
        </a:p>
        <a:p>
          <a:r>
            <a:rPr lang="en-US" sz="900"/>
            <a:t>1:20,000 goat anti-mouse-700</a:t>
          </a:r>
        </a:p>
      </xdr:txBody>
    </xdr:sp>
    <xdr:clientData/>
  </xdr:twoCellAnchor>
  <xdr:twoCellAnchor>
    <xdr:from>
      <xdr:col>14</xdr:col>
      <xdr:colOff>557894</xdr:colOff>
      <xdr:row>66</xdr:row>
      <xdr:rowOff>30843</xdr:rowOff>
    </xdr:from>
    <xdr:to>
      <xdr:col>17</xdr:col>
      <xdr:colOff>470778</xdr:colOff>
      <xdr:row>68</xdr:row>
      <xdr:rowOff>168106</xdr:rowOff>
    </xdr:to>
    <xdr:sp macro="" textlink="">
      <xdr:nvSpPr>
        <xdr:cNvPr id="24" name="TextBox 20">
          <a:extLst>
            <a:ext uri="{FF2B5EF4-FFF2-40B4-BE49-F238E27FC236}">
              <a16:creationId xmlns:a16="http://schemas.microsoft.com/office/drawing/2014/main" id="{E45A9069-1DB7-4221-B7F9-BB7548616D75}"/>
            </a:ext>
          </a:extLst>
        </xdr:cNvPr>
        <xdr:cNvSpPr txBox="1"/>
      </xdr:nvSpPr>
      <xdr:spPr>
        <a:xfrm>
          <a:off x="10120994" y="11740243"/>
          <a:ext cx="1741684" cy="49286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/>
            <a:t>1:100 mouse anti-sma</a:t>
          </a:r>
        </a:p>
        <a:p>
          <a:endParaRPr lang="en-US" sz="900"/>
        </a:p>
        <a:p>
          <a:r>
            <a:rPr lang="en-US" sz="900"/>
            <a:t>1:20,000 goat anti-mouse-700</a:t>
          </a:r>
        </a:p>
      </xdr:txBody>
    </xdr:sp>
    <xdr:clientData/>
  </xdr:twoCellAnchor>
  <xdr:twoCellAnchor>
    <xdr:from>
      <xdr:col>18</xdr:col>
      <xdr:colOff>343046</xdr:colOff>
      <xdr:row>43</xdr:row>
      <xdr:rowOff>145976</xdr:rowOff>
    </xdr:from>
    <xdr:to>
      <xdr:col>28</xdr:col>
      <xdr:colOff>591207</xdr:colOff>
      <xdr:row>45</xdr:row>
      <xdr:rowOff>43794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AB02A7F8-C5B6-5188-E7E3-B6011BFD0DFD}"/>
            </a:ext>
          </a:extLst>
        </xdr:cNvPr>
        <xdr:cNvSpPr/>
      </xdr:nvSpPr>
      <xdr:spPr bwMode="auto">
        <a:xfrm>
          <a:off x="12400747" y="7401033"/>
          <a:ext cx="6379196" cy="291956"/>
        </a:xfrm>
        <a:prstGeom prst="rect">
          <a:avLst/>
        </a:prstGeom>
        <a:noFill/>
        <a:ln w="2857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n-US" sz="1100"/>
        </a:p>
      </xdr:txBody>
    </xdr:sp>
    <xdr:clientData/>
  </xdr:twoCellAnchor>
  <xdr:oneCellAnchor>
    <xdr:from>
      <xdr:col>17</xdr:col>
      <xdr:colOff>423332</xdr:colOff>
      <xdr:row>43</xdr:row>
      <xdr:rowOff>116782</xdr:rowOff>
    </xdr:from>
    <xdr:ext cx="560474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BB9118-41A2-99E0-44C3-86D44E598B1B}"/>
            </a:ext>
          </a:extLst>
        </xdr:cNvPr>
        <xdr:cNvSpPr txBox="1"/>
      </xdr:nvSpPr>
      <xdr:spPr>
        <a:xfrm>
          <a:off x="11867930" y="7371839"/>
          <a:ext cx="56047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bg1"/>
              </a:solidFill>
            </a:rPr>
            <a:t>SORLA</a:t>
          </a:r>
        </a:p>
      </xdr:txBody>
    </xdr:sp>
    <xdr:clientData/>
  </xdr:oneCellAnchor>
  <xdr:twoCellAnchor>
    <xdr:from>
      <xdr:col>18</xdr:col>
      <xdr:colOff>342171</xdr:colOff>
      <xdr:row>46</xdr:row>
      <xdr:rowOff>51092</xdr:rowOff>
    </xdr:from>
    <xdr:to>
      <xdr:col>28</xdr:col>
      <xdr:colOff>590332</xdr:colOff>
      <xdr:row>47</xdr:row>
      <xdr:rowOff>86711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2251105C-D9B2-4CE3-8051-427B2E4BA5A1}"/>
            </a:ext>
          </a:extLst>
        </xdr:cNvPr>
        <xdr:cNvSpPr/>
      </xdr:nvSpPr>
      <xdr:spPr bwMode="auto">
        <a:xfrm>
          <a:off x="12399872" y="7897356"/>
          <a:ext cx="6379196" cy="232688"/>
        </a:xfrm>
        <a:prstGeom prst="rect">
          <a:avLst/>
        </a:prstGeom>
        <a:noFill/>
        <a:ln w="2857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n-US" sz="1100"/>
        </a:p>
      </xdr:txBody>
    </xdr:sp>
    <xdr:clientData/>
  </xdr:twoCellAnchor>
  <xdr:oneCellAnchor>
    <xdr:from>
      <xdr:col>17</xdr:col>
      <xdr:colOff>385962</xdr:colOff>
      <xdr:row>45</xdr:row>
      <xdr:rowOff>174297</xdr:rowOff>
    </xdr:from>
    <xdr:ext cx="6438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5F3EDDBE-3EBE-415A-B500-358BFC8E3AE7}"/>
            </a:ext>
          </a:extLst>
        </xdr:cNvPr>
        <xdr:cNvSpPr txBox="1"/>
      </xdr:nvSpPr>
      <xdr:spPr>
        <a:xfrm>
          <a:off x="11830560" y="7823492"/>
          <a:ext cx="6438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bg1"/>
              </a:solidFill>
            </a:rPr>
            <a:t>Vinculin</a:t>
          </a:r>
        </a:p>
      </xdr:txBody>
    </xdr:sp>
    <xdr:clientData/>
  </xdr:oneCellAnchor>
  <xdr:twoCellAnchor>
    <xdr:from>
      <xdr:col>18</xdr:col>
      <xdr:colOff>297502</xdr:colOff>
      <xdr:row>50</xdr:row>
      <xdr:rowOff>115906</xdr:rowOff>
    </xdr:from>
    <xdr:to>
      <xdr:col>28</xdr:col>
      <xdr:colOff>545663</xdr:colOff>
      <xdr:row>51</xdr:row>
      <xdr:rowOff>151525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99F55B14-C4E4-4443-9706-BAD1500E5165}"/>
            </a:ext>
          </a:extLst>
        </xdr:cNvPr>
        <xdr:cNvSpPr/>
      </xdr:nvSpPr>
      <xdr:spPr bwMode="auto">
        <a:xfrm>
          <a:off x="12355203" y="8750446"/>
          <a:ext cx="6379196" cy="232688"/>
        </a:xfrm>
        <a:prstGeom prst="rect">
          <a:avLst/>
        </a:prstGeom>
        <a:noFill/>
        <a:ln w="2857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n-US" sz="1100"/>
        </a:p>
      </xdr:txBody>
    </xdr:sp>
    <xdr:clientData/>
  </xdr:twoCellAnchor>
  <xdr:oneCellAnchor>
    <xdr:from>
      <xdr:col>17</xdr:col>
      <xdr:colOff>495446</xdr:colOff>
      <xdr:row>50</xdr:row>
      <xdr:rowOff>101308</xdr:rowOff>
    </xdr:from>
    <xdr:ext cx="451727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8599EA1C-9D49-45A2-B9C0-A93884146AEE}"/>
            </a:ext>
          </a:extLst>
        </xdr:cNvPr>
        <xdr:cNvSpPr txBox="1"/>
      </xdr:nvSpPr>
      <xdr:spPr>
        <a:xfrm>
          <a:off x="11940044" y="8735848"/>
          <a:ext cx="4517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bg1"/>
              </a:solidFill>
            </a:rPr>
            <a:t>SMA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617220</xdr:colOff>
      <xdr:row>3</xdr:row>
      <xdr:rowOff>99060</xdr:rowOff>
    </xdr:from>
    <xdr:to>
      <xdr:col>13</xdr:col>
      <xdr:colOff>487680</xdr:colOff>
      <xdr:row>17</xdr:row>
      <xdr:rowOff>121920</xdr:rowOff>
    </xdr:to>
    <xdr:graphicFrame macro="">
      <xdr:nvGraphicFramePr>
        <xdr:cNvPr id="826391" name="Chart 3">
          <a:extLst>
            <a:ext uri="{FF2B5EF4-FFF2-40B4-BE49-F238E27FC236}">
              <a16:creationId xmlns:a16="http://schemas.microsoft.com/office/drawing/2014/main" id="{00000000-0008-0000-0C00-0000179C0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144780</xdr:colOff>
      <xdr:row>2</xdr:row>
      <xdr:rowOff>160020</xdr:rowOff>
    </xdr:from>
    <xdr:to>
      <xdr:col>13</xdr:col>
      <xdr:colOff>721995</xdr:colOff>
      <xdr:row>17</xdr:row>
      <xdr:rowOff>0</xdr:rowOff>
    </xdr:to>
    <xdr:graphicFrame macro="">
      <xdr:nvGraphicFramePr>
        <xdr:cNvPr id="958478" name="Chart 3">
          <a:extLst>
            <a:ext uri="{FF2B5EF4-FFF2-40B4-BE49-F238E27FC236}">
              <a16:creationId xmlns:a16="http://schemas.microsoft.com/office/drawing/2014/main" id="{00000000-0008-0000-0D00-00000EA00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19050</xdr:colOff>
      <xdr:row>164</xdr:row>
      <xdr:rowOff>152400</xdr:rowOff>
    </xdr:from>
    <xdr:to>
      <xdr:col>16</xdr:col>
      <xdr:colOff>733425</xdr:colOff>
      <xdr:row>179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C002102C-4C5D-4E29-B391-5B2C51907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291</xdr:row>
      <xdr:rowOff>139700</xdr:rowOff>
    </xdr:from>
    <xdr:to>
      <xdr:col>0</xdr:col>
      <xdr:colOff>69850</xdr:colOff>
      <xdr:row>292</xdr:row>
      <xdr:rowOff>38100</xdr:rowOff>
    </xdr:to>
    <xdr:graphicFrame macro="">
      <xdr:nvGraphicFramePr>
        <xdr:cNvPr id="3" name="Chart 66">
          <a:extLst>
            <a:ext uri="{FF2B5EF4-FFF2-40B4-BE49-F238E27FC236}">
              <a16:creationId xmlns:a16="http://schemas.microsoft.com/office/drawing/2014/main" id="{FD0543DF-A28F-493C-B403-B378C31DB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527050</xdr:colOff>
      <xdr:row>172</xdr:row>
      <xdr:rowOff>19050</xdr:rowOff>
    </xdr:from>
    <xdr:to>
      <xdr:col>20</xdr:col>
      <xdr:colOff>127000</xdr:colOff>
      <xdr:row>174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E8761C9-71AD-4131-8923-D6CE8366B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107950</xdr:colOff>
      <xdr:row>97</xdr:row>
      <xdr:rowOff>0</xdr:rowOff>
    </xdr:from>
    <xdr:to>
      <xdr:col>19</xdr:col>
      <xdr:colOff>88900</xdr:colOff>
      <xdr:row>97</xdr:row>
      <xdr:rowOff>114300</xdr:rowOff>
    </xdr:to>
    <xdr:graphicFrame macro="">
      <xdr:nvGraphicFramePr>
        <xdr:cNvPr id="3" name="Chart 65">
          <a:extLst>
            <a:ext uri="{FF2B5EF4-FFF2-40B4-BE49-F238E27FC236}">
              <a16:creationId xmlns:a16="http://schemas.microsoft.com/office/drawing/2014/main" id="{C1A5ECE2-2CA3-488F-9321-3D6E087D8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68</xdr:row>
      <xdr:rowOff>146050</xdr:rowOff>
    </xdr:from>
    <xdr:to>
      <xdr:col>0</xdr:col>
      <xdr:colOff>69850</xdr:colOff>
      <xdr:row>69</xdr:row>
      <xdr:rowOff>38100</xdr:rowOff>
    </xdr:to>
    <xdr:graphicFrame macro="">
      <xdr:nvGraphicFramePr>
        <xdr:cNvPr id="4" name="Chart 66">
          <a:extLst>
            <a:ext uri="{FF2B5EF4-FFF2-40B4-BE49-F238E27FC236}">
              <a16:creationId xmlns:a16="http://schemas.microsoft.com/office/drawing/2014/main" id="{9865C4FB-5E19-46F1-B994-FE9B5B821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457200</xdr:colOff>
      <xdr:row>189</xdr:row>
      <xdr:rowOff>95250</xdr:rowOff>
    </xdr:from>
    <xdr:to>
      <xdr:col>24</xdr:col>
      <xdr:colOff>114300</xdr:colOff>
      <xdr:row>232</xdr:row>
      <xdr:rowOff>63500</xdr:rowOff>
    </xdr:to>
    <xdr:graphicFrame macro="">
      <xdr:nvGraphicFramePr>
        <xdr:cNvPr id="5" name="Chart 70">
          <a:extLst>
            <a:ext uri="{FF2B5EF4-FFF2-40B4-BE49-F238E27FC236}">
              <a16:creationId xmlns:a16="http://schemas.microsoft.com/office/drawing/2014/main" id="{249874F6-6728-42C6-AC6C-31223C74F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381000</xdr:colOff>
      <xdr:row>204</xdr:row>
      <xdr:rowOff>57150</xdr:rowOff>
    </xdr:from>
    <xdr:to>
      <xdr:col>29</xdr:col>
      <xdr:colOff>342900</xdr:colOff>
      <xdr:row>214</xdr:row>
      <xdr:rowOff>38100</xdr:rowOff>
    </xdr:to>
    <xdr:graphicFrame macro="">
      <xdr:nvGraphicFramePr>
        <xdr:cNvPr id="6" name="Chart 68">
          <a:extLst>
            <a:ext uri="{FF2B5EF4-FFF2-40B4-BE49-F238E27FC236}">
              <a16:creationId xmlns:a16="http://schemas.microsoft.com/office/drawing/2014/main" id="{137BD075-DD18-443E-9B17-75C8A8CB3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190500</xdr:colOff>
      <xdr:row>1</xdr:row>
      <xdr:rowOff>101600</xdr:rowOff>
    </xdr:from>
    <xdr:to>
      <xdr:col>14</xdr:col>
      <xdr:colOff>381000</xdr:colOff>
      <xdr:row>17</xdr:row>
      <xdr:rowOff>133350</xdr:rowOff>
    </xdr:to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053537CF-3434-4850-8DCD-2B41A4E0E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63</xdr:row>
      <xdr:rowOff>139700</xdr:rowOff>
    </xdr:from>
    <xdr:to>
      <xdr:col>0</xdr:col>
      <xdr:colOff>69850</xdr:colOff>
      <xdr:row>64</xdr:row>
      <xdr:rowOff>38100</xdr:rowOff>
    </xdr:to>
    <xdr:graphicFrame macro="">
      <xdr:nvGraphicFramePr>
        <xdr:cNvPr id="9" name="Chart 66">
          <a:extLst>
            <a:ext uri="{FF2B5EF4-FFF2-40B4-BE49-F238E27FC236}">
              <a16:creationId xmlns:a16="http://schemas.microsoft.com/office/drawing/2014/main" id="{3C375655-53C5-4654-9F97-D543D3E0F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593725</xdr:colOff>
      <xdr:row>66</xdr:row>
      <xdr:rowOff>3175</xdr:rowOff>
    </xdr:from>
    <xdr:to>
      <xdr:col>16</xdr:col>
      <xdr:colOff>149225</xdr:colOff>
      <xdr:row>82</xdr:row>
      <xdr:rowOff>104775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B48B2C6-6E3E-6772-0867-8F04BD2C4F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Intmed_Shared\Shared\Pulm\Restricted\sisson_lab\Sisson's%20Data\THS%20Transgenics\THS%20Transgenics%20DTR\DT%20Injections\HBEGF%2087%20DT%2021%20DTR+PV-,VN-P-\DT1022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Intmed_Shared\Shared\Pulm\Restricted\sisson_lab\Sisson's%20Data\THS%20Transgenics\THS%20Transgenics%20DTR\DT%20Injections\HBEGF%2080%2010000%20Day%2021%20DTR+%20PAI1-,VN-\Hydrx2%20DTRPVV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Intmed_Shared\Shared\Pulm\Restricted\sisson_lab\Sisson's%20Data\THS%20Transgenics\THS%20Transgenics%20BLEO%20PV-;VN-\Bleomycin\Study%202%20%20P-%20V-%20PV-\Hdrx2BLE111315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Intmed_Shared\Shared\Pulm\Restricted\sisson_lab\Sisson's%20Data\THS%20Transgenics\THS%20Transgenics%20DTR\DT%20Injections\HBEGF%20103%20PAI-rr%20DTR+PV-\3Hdrx11216R2.xls" TargetMode="External"/><Relationship Id="rId1" Type="http://schemas.openxmlformats.org/officeDocument/2006/relationships/externalLinkPath" Target="file:///S:\Intmed_Shared\Shared\Pulm\Restricted\sisson_lab\Sisson's%20Data\THS%20Transgenics\THS%20Transgenics%20DTR\DT%20Injections\HBEGF%20103%20PAI-rr%20DTR+PV-\3Hdrx11216R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Intmed_Shared\Shared\Pulm\Restricted\sisson_lab\Sisson's%20Data\THS%20Transgenics\THS%20Transgenics%20BLEO%20PV-;VN-\Bleomycin\Study%2044%20SORLa%20Homo%20v%20Hetero%20v%20wt%2021%20day\Wts%20Homo%20Het%20wt%2021d%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Intmed_Shared\Shared\Pulm\Restricted\sisson_lab\Sisson's%20Data\THS%20Transgenics\THS%20Transgenics%20BLEO%20PV-;VN-\Bleomycin\Study%2044%20SORLa%20Homo%20v%20Hetero%20v%20wt%2021%20day\HydrSorla81619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Intmed_Shared\Shared\Pulm\Restricted\sisson_lab\Sisson's%20Data\THS%20Transgenics\THS%20Transgenics%20BLEO%20PV-;VN-\Bleomycin\Study%2065%20SorlAnull-PAI-1null%20BLEO%20plus%20PAI-1wt%205523\HP2%2061323.xls" TargetMode="External"/><Relationship Id="rId1" Type="http://schemas.openxmlformats.org/officeDocument/2006/relationships/externalLinkPath" Target="file:///S:\Intmed_Shared\Shared\Pulm\Restricted\sisson_lab\Sisson's%20Data\THS%20Transgenics\THS%20Transgenics%20BLEO%20PV-;VN-\Bleomycin\Study%2065%20SorlAnull-PAI-1null%20BLEO%20plus%20PAI-1wt%205523\HP2%2061323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Intmed_Shared\Shared\Pulm\Restricted\sisson_lab\Sisson's%20Data\THS%20Transgenics\THS%20Transgenics%20BLEO%20PV-;VN-\Bleomycin\Study%2055%20Sorla%20P-%20Homo%20hetero%20%20Bleo%20PAI%20inj\112221%202%20%20HP.xls" TargetMode="External"/><Relationship Id="rId1" Type="http://schemas.openxmlformats.org/officeDocument/2006/relationships/externalLinkPath" Target="file:///S:\Intmed_Shared\Shared\Pulm\Restricted\sisson_lab\Sisson's%20Data\THS%20Transgenics\THS%20Transgenics%20BLEO%20PV-;VN-\Bleomycin\Study%2055%20Sorla%20P-%20Homo%20hetero%20%20Bleo%20PAI%20inj\112221%202%20%20HP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Intmed_Shared\Shared\Pulm\Restricted\sisson_lab\Sisson's%20Data\THS%20Transgenics\THS%20Transgenics%20BLEO%20PV-;VN-\Bleomycin\Control%20PBS-untreated\1%20HP%20PBS%20Not%20TR%2041024%20.xls" TargetMode="External"/><Relationship Id="rId1" Type="http://schemas.openxmlformats.org/officeDocument/2006/relationships/externalLinkPath" Target="file:///S:\Intmed_Shared\Shared\Pulm\Restricted\sisson_lab\Sisson's%20Data\THS%20Transgenics\THS%20Transgenics%20BLEO%20PV-;VN-\Bleomycin\Control%20PBS-untreated\1%20HP%20PBS%20Not%20TR%2041024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Change"/>
      <sheetName val="Sheet3"/>
    </sheetNames>
    <sheetDataSet>
      <sheetData sheetId="0">
        <row r="4">
          <cell r="D4">
            <v>21</v>
          </cell>
          <cell r="E4">
            <v>21.2</v>
          </cell>
          <cell r="F4">
            <v>21.4</v>
          </cell>
          <cell r="H4">
            <v>21.4</v>
          </cell>
          <cell r="I4">
            <v>21.5</v>
          </cell>
          <cell r="J4">
            <v>21.4</v>
          </cell>
          <cell r="K4">
            <v>21.2</v>
          </cell>
          <cell r="L4">
            <v>20.9</v>
          </cell>
          <cell r="N4">
            <v>20.9</v>
          </cell>
          <cell r="O4">
            <v>20.8</v>
          </cell>
          <cell r="P4">
            <v>21</v>
          </cell>
          <cell r="Q4">
            <v>20.8</v>
          </cell>
          <cell r="R4">
            <v>20.399999999999999</v>
          </cell>
          <cell r="W4">
            <v>20.8</v>
          </cell>
          <cell r="X4">
            <v>20.8</v>
          </cell>
          <cell r="Y4">
            <v>20.8</v>
          </cell>
        </row>
        <row r="5">
          <cell r="D5">
            <v>20.5</v>
          </cell>
          <cell r="E5">
            <v>20.6</v>
          </cell>
          <cell r="F5">
            <v>21.4</v>
          </cell>
          <cell r="H5">
            <v>21</v>
          </cell>
          <cell r="I5">
            <v>20.8</v>
          </cell>
          <cell r="J5">
            <v>20.8</v>
          </cell>
          <cell r="K5">
            <v>20.8</v>
          </cell>
          <cell r="L5">
            <v>20.7</v>
          </cell>
          <cell r="N5">
            <v>20.6</v>
          </cell>
          <cell r="O5">
            <v>20.399999999999999</v>
          </cell>
          <cell r="P5">
            <v>20.8</v>
          </cell>
          <cell r="Q5">
            <v>20.399999999999999</v>
          </cell>
          <cell r="R5">
            <v>20.5</v>
          </cell>
          <cell r="W5">
            <v>20.2</v>
          </cell>
          <cell r="X5">
            <v>20.100000000000001</v>
          </cell>
          <cell r="Y5">
            <v>19.8</v>
          </cell>
        </row>
        <row r="6">
          <cell r="D6">
            <v>23.1</v>
          </cell>
          <cell r="E6">
            <v>23.1</v>
          </cell>
          <cell r="F6">
            <v>23.2</v>
          </cell>
          <cell r="H6">
            <v>23</v>
          </cell>
          <cell r="I6">
            <v>23</v>
          </cell>
          <cell r="J6">
            <v>22.9</v>
          </cell>
          <cell r="K6">
            <v>22.8</v>
          </cell>
          <cell r="L6">
            <v>22.6</v>
          </cell>
          <cell r="N6">
            <v>22.6</v>
          </cell>
          <cell r="O6">
            <v>22.5</v>
          </cell>
          <cell r="P6">
            <v>22.4</v>
          </cell>
          <cell r="Q6">
            <v>22.2</v>
          </cell>
          <cell r="R6">
            <v>22.3</v>
          </cell>
          <cell r="W6">
            <v>22.4</v>
          </cell>
          <cell r="X6">
            <v>22.5</v>
          </cell>
          <cell r="Y6">
            <v>22.5</v>
          </cell>
        </row>
        <row r="7">
          <cell r="D7">
            <v>23.1</v>
          </cell>
          <cell r="E7">
            <v>23.4</v>
          </cell>
          <cell r="F7">
            <v>23.2</v>
          </cell>
          <cell r="H7">
            <v>23.3</v>
          </cell>
          <cell r="I7">
            <v>23.2</v>
          </cell>
          <cell r="J7">
            <v>23</v>
          </cell>
          <cell r="K7">
            <v>23</v>
          </cell>
          <cell r="L7">
            <v>22.8</v>
          </cell>
          <cell r="N7">
            <v>22.8</v>
          </cell>
          <cell r="O7">
            <v>22.8</v>
          </cell>
          <cell r="P7">
            <v>23.2</v>
          </cell>
          <cell r="Q7">
            <v>23</v>
          </cell>
          <cell r="R7">
            <v>22.8</v>
          </cell>
          <cell r="W7">
            <v>23</v>
          </cell>
          <cell r="X7">
            <v>23.1</v>
          </cell>
          <cell r="Y7">
            <v>23.6</v>
          </cell>
        </row>
        <row r="8">
          <cell r="D8">
            <v>17.2</v>
          </cell>
          <cell r="E8">
            <v>17</v>
          </cell>
          <cell r="F8">
            <v>16.8</v>
          </cell>
          <cell r="H8">
            <v>16.7</v>
          </cell>
          <cell r="I8">
            <v>16.600000000000001</v>
          </cell>
          <cell r="J8">
            <v>16.5</v>
          </cell>
          <cell r="K8">
            <v>16.2</v>
          </cell>
          <cell r="L8">
            <v>16.5</v>
          </cell>
          <cell r="N8">
            <v>16.399999999999999</v>
          </cell>
          <cell r="O8">
            <v>16.5</v>
          </cell>
          <cell r="P8">
            <v>16.5</v>
          </cell>
          <cell r="Q8">
            <v>16.2</v>
          </cell>
          <cell r="R8">
            <v>16.3</v>
          </cell>
          <cell r="W8">
            <v>17.100000000000001</v>
          </cell>
          <cell r="X8">
            <v>16.7</v>
          </cell>
          <cell r="Y8">
            <v>16.399999999999999</v>
          </cell>
        </row>
        <row r="9">
          <cell r="D9">
            <v>17.600000000000001</v>
          </cell>
          <cell r="E9">
            <v>18</v>
          </cell>
          <cell r="F9">
            <v>17.7</v>
          </cell>
          <cell r="H9">
            <v>17.8</v>
          </cell>
          <cell r="I9">
            <v>17.600000000000001</v>
          </cell>
          <cell r="J9">
            <v>17.600000000000001</v>
          </cell>
          <cell r="K9">
            <v>17.399999999999999</v>
          </cell>
          <cell r="L9">
            <v>17.399999999999999</v>
          </cell>
          <cell r="N9">
            <v>17.5</v>
          </cell>
          <cell r="O9">
            <v>17.5</v>
          </cell>
          <cell r="P9">
            <v>17.2</v>
          </cell>
          <cell r="Q9">
            <v>17.2</v>
          </cell>
          <cell r="R9">
            <v>17.7</v>
          </cell>
          <cell r="W9">
            <v>17.399999999999999</v>
          </cell>
          <cell r="X9">
            <v>17.8</v>
          </cell>
          <cell r="Y9">
            <v>17.600000000000001</v>
          </cell>
        </row>
        <row r="16">
          <cell r="D16">
            <v>18</v>
          </cell>
          <cell r="E16">
            <v>17.8</v>
          </cell>
          <cell r="F16">
            <v>17.2</v>
          </cell>
          <cell r="H16">
            <v>17</v>
          </cell>
          <cell r="I16">
            <v>16.5</v>
          </cell>
          <cell r="J16">
            <v>16.7</v>
          </cell>
          <cell r="K16">
            <v>16.8</v>
          </cell>
          <cell r="L16">
            <v>16.8</v>
          </cell>
          <cell r="N16">
            <v>16.3</v>
          </cell>
          <cell r="O16">
            <v>15.9</v>
          </cell>
          <cell r="P16">
            <v>15.4</v>
          </cell>
          <cell r="Q16">
            <v>14.8</v>
          </cell>
          <cell r="R16">
            <v>15.2</v>
          </cell>
          <cell r="W16">
            <v>11.8</v>
          </cell>
          <cell r="X16">
            <v>11.8</v>
          </cell>
          <cell r="Y16">
            <v>11.8</v>
          </cell>
        </row>
        <row r="17">
          <cell r="D17">
            <v>19</v>
          </cell>
          <cell r="E17">
            <v>18.600000000000001</v>
          </cell>
          <cell r="F17">
            <v>18.600000000000001</v>
          </cell>
          <cell r="H17">
            <v>18.2</v>
          </cell>
          <cell r="I17">
            <v>18</v>
          </cell>
          <cell r="J17">
            <v>17.8</v>
          </cell>
          <cell r="K17">
            <v>17.899999999999999</v>
          </cell>
          <cell r="L17">
            <v>18</v>
          </cell>
          <cell r="N17">
            <v>17.2</v>
          </cell>
          <cell r="O17">
            <v>15.4</v>
          </cell>
          <cell r="P17">
            <v>14.6</v>
          </cell>
          <cell r="Q17">
            <v>13.8</v>
          </cell>
          <cell r="R17">
            <v>13.2</v>
          </cell>
          <cell r="W17">
            <v>10.4</v>
          </cell>
          <cell r="X17">
            <v>10.4</v>
          </cell>
          <cell r="Y17">
            <v>10.4</v>
          </cell>
        </row>
        <row r="18">
          <cell r="D18">
            <v>20.5</v>
          </cell>
          <cell r="E18">
            <v>20.8</v>
          </cell>
          <cell r="F18">
            <v>20.3</v>
          </cell>
          <cell r="H18">
            <v>20</v>
          </cell>
          <cell r="I18">
            <v>20</v>
          </cell>
          <cell r="J18">
            <v>19.7</v>
          </cell>
          <cell r="K18">
            <v>19.7</v>
          </cell>
          <cell r="L18">
            <v>19.8</v>
          </cell>
          <cell r="N18">
            <v>19.399999999999999</v>
          </cell>
          <cell r="O18">
            <v>19.2</v>
          </cell>
          <cell r="P18">
            <v>19.7</v>
          </cell>
          <cell r="Q18">
            <v>19.399999999999999</v>
          </cell>
          <cell r="R18">
            <v>19</v>
          </cell>
          <cell r="W18">
            <v>19.600000000000001</v>
          </cell>
          <cell r="X18">
            <v>19.600000000000001</v>
          </cell>
          <cell r="Y18">
            <v>19.3</v>
          </cell>
        </row>
        <row r="19">
          <cell r="D19">
            <v>21.5</v>
          </cell>
          <cell r="E19">
            <v>21.5</v>
          </cell>
          <cell r="F19">
            <v>21.6</v>
          </cell>
          <cell r="H19">
            <v>21.4</v>
          </cell>
          <cell r="I19">
            <v>21.3</v>
          </cell>
          <cell r="J19">
            <v>21.4</v>
          </cell>
          <cell r="K19">
            <v>21</v>
          </cell>
          <cell r="L19">
            <v>21</v>
          </cell>
          <cell r="N19">
            <v>20.2</v>
          </cell>
          <cell r="O19">
            <v>19.399999999999999</v>
          </cell>
          <cell r="P19">
            <v>18.600000000000001</v>
          </cell>
          <cell r="Q19">
            <v>17.3</v>
          </cell>
          <cell r="R19">
            <v>16.600000000000001</v>
          </cell>
          <cell r="W19">
            <v>13</v>
          </cell>
          <cell r="X19">
            <v>13</v>
          </cell>
          <cell r="Y19">
            <v>13</v>
          </cell>
        </row>
        <row r="20">
          <cell r="D20">
            <v>23.9</v>
          </cell>
          <cell r="E20">
            <v>24</v>
          </cell>
          <cell r="F20">
            <v>24.2</v>
          </cell>
          <cell r="H20">
            <v>23.5</v>
          </cell>
          <cell r="I20">
            <v>23.1</v>
          </cell>
          <cell r="J20">
            <v>22.6</v>
          </cell>
          <cell r="K20">
            <v>22.4</v>
          </cell>
          <cell r="L20">
            <v>22.1</v>
          </cell>
          <cell r="N20">
            <v>21.4</v>
          </cell>
          <cell r="O20">
            <v>20.9</v>
          </cell>
          <cell r="P20">
            <v>20.7</v>
          </cell>
          <cell r="Q20">
            <v>20.6</v>
          </cell>
          <cell r="R20">
            <v>20.3</v>
          </cell>
          <cell r="W20">
            <v>19.600000000000001</v>
          </cell>
          <cell r="X20">
            <v>19.3</v>
          </cell>
          <cell r="Y20">
            <v>18.600000000000001</v>
          </cell>
        </row>
        <row r="21">
          <cell r="D21">
            <v>24</v>
          </cell>
          <cell r="E21">
            <v>23.8</v>
          </cell>
          <cell r="F21">
            <v>24</v>
          </cell>
          <cell r="H21">
            <v>23.8</v>
          </cell>
          <cell r="I21">
            <v>23.8</v>
          </cell>
          <cell r="J21">
            <v>24</v>
          </cell>
          <cell r="K21">
            <v>23.8</v>
          </cell>
          <cell r="L21">
            <v>23.6</v>
          </cell>
          <cell r="N21">
            <v>23</v>
          </cell>
          <cell r="O21">
            <v>22.6</v>
          </cell>
          <cell r="P21">
            <v>22.2</v>
          </cell>
          <cell r="Q21">
            <v>20</v>
          </cell>
          <cell r="R21">
            <v>19.399999999999999</v>
          </cell>
          <cell r="W21">
            <v>18.2</v>
          </cell>
          <cell r="X21">
            <v>18</v>
          </cell>
          <cell r="Y21">
            <v>17.8</v>
          </cell>
        </row>
        <row r="28">
          <cell r="D28">
            <v>20.6</v>
          </cell>
          <cell r="E28">
            <v>20.5</v>
          </cell>
          <cell r="F28">
            <v>20.6</v>
          </cell>
          <cell r="H28">
            <v>20.7</v>
          </cell>
          <cell r="I28">
            <v>20.7</v>
          </cell>
          <cell r="J28">
            <v>20.8</v>
          </cell>
          <cell r="K28">
            <v>20.6</v>
          </cell>
          <cell r="L28">
            <v>20.8</v>
          </cell>
          <cell r="N28">
            <v>20.7</v>
          </cell>
          <cell r="O28">
            <v>20.7</v>
          </cell>
          <cell r="P28">
            <v>20.7</v>
          </cell>
          <cell r="Q28">
            <v>20.399999999999999</v>
          </cell>
          <cell r="R28">
            <v>20.5</v>
          </cell>
          <cell r="W28">
            <v>20.3</v>
          </cell>
          <cell r="X28">
            <v>20.399999999999999</v>
          </cell>
          <cell r="Y28">
            <v>20.2</v>
          </cell>
        </row>
        <row r="29">
          <cell r="D29">
            <v>19.600000000000001</v>
          </cell>
          <cell r="E29">
            <v>19.600000000000001</v>
          </cell>
          <cell r="F29">
            <v>19.5</v>
          </cell>
          <cell r="H29">
            <v>19.5</v>
          </cell>
          <cell r="I29">
            <v>19.399999999999999</v>
          </cell>
          <cell r="J29">
            <v>19</v>
          </cell>
          <cell r="K29">
            <v>19.399999999999999</v>
          </cell>
          <cell r="L29">
            <v>19.600000000000001</v>
          </cell>
          <cell r="N29">
            <v>19</v>
          </cell>
          <cell r="O29">
            <v>18.5</v>
          </cell>
          <cell r="P29">
            <v>18.2</v>
          </cell>
          <cell r="Q29">
            <v>17.8</v>
          </cell>
          <cell r="R29">
            <v>17.399999999999999</v>
          </cell>
          <cell r="W29">
            <v>18.399999999999999</v>
          </cell>
          <cell r="X29">
            <v>18.899999999999999</v>
          </cell>
          <cell r="Y29">
            <v>19</v>
          </cell>
        </row>
        <row r="30">
          <cell r="D30">
            <v>22.6</v>
          </cell>
          <cell r="E30">
            <v>22.4</v>
          </cell>
          <cell r="F30">
            <v>22.6</v>
          </cell>
          <cell r="H30">
            <v>22.3</v>
          </cell>
          <cell r="I30">
            <v>22</v>
          </cell>
          <cell r="J30">
            <v>21.9</v>
          </cell>
          <cell r="K30">
            <v>21.8</v>
          </cell>
          <cell r="L30">
            <v>22.4</v>
          </cell>
          <cell r="N30">
            <v>22.5</v>
          </cell>
          <cell r="O30">
            <v>22.5</v>
          </cell>
          <cell r="P30">
            <v>22.7</v>
          </cell>
          <cell r="Q30">
            <v>22.3</v>
          </cell>
          <cell r="R30">
            <v>22.5</v>
          </cell>
          <cell r="W30">
            <v>22.6</v>
          </cell>
          <cell r="X30">
            <v>22.6</v>
          </cell>
          <cell r="Y30">
            <v>22.4</v>
          </cell>
        </row>
        <row r="31">
          <cell r="D31">
            <v>22.7</v>
          </cell>
          <cell r="E31">
            <v>22.9</v>
          </cell>
          <cell r="F31">
            <v>22.8</v>
          </cell>
          <cell r="H31">
            <v>22.7</v>
          </cell>
          <cell r="I31">
            <v>22.7</v>
          </cell>
          <cell r="J31">
            <v>22.5</v>
          </cell>
          <cell r="K31">
            <v>22.4</v>
          </cell>
          <cell r="L31">
            <v>22.3</v>
          </cell>
          <cell r="N31">
            <v>22.3</v>
          </cell>
          <cell r="O31">
            <v>22.3</v>
          </cell>
          <cell r="P31">
            <v>22.4</v>
          </cell>
          <cell r="Q31">
            <v>21.8</v>
          </cell>
          <cell r="R31">
            <v>22.1</v>
          </cell>
          <cell r="W31">
            <v>21.6</v>
          </cell>
          <cell r="X31">
            <v>21.4</v>
          </cell>
          <cell r="Y31">
            <v>22</v>
          </cell>
        </row>
        <row r="32">
          <cell r="D32">
            <v>20.8</v>
          </cell>
          <cell r="E32">
            <v>20.5</v>
          </cell>
          <cell r="F32">
            <v>21.1</v>
          </cell>
          <cell r="H32">
            <v>21</v>
          </cell>
          <cell r="I32">
            <v>20.8</v>
          </cell>
          <cell r="J32">
            <v>20.100000000000001</v>
          </cell>
          <cell r="K32">
            <v>20.3</v>
          </cell>
          <cell r="L32">
            <v>20.2</v>
          </cell>
          <cell r="N32">
            <v>20.100000000000001</v>
          </cell>
          <cell r="O32">
            <v>20</v>
          </cell>
          <cell r="P32">
            <v>20</v>
          </cell>
          <cell r="Q32">
            <v>20</v>
          </cell>
          <cell r="R32">
            <v>20</v>
          </cell>
          <cell r="W32">
            <v>19.5</v>
          </cell>
          <cell r="X32">
            <v>18.8</v>
          </cell>
          <cell r="Y32">
            <v>18.600000000000001</v>
          </cell>
        </row>
        <row r="33">
          <cell r="D33">
            <v>20.7</v>
          </cell>
          <cell r="E33">
            <v>20.9</v>
          </cell>
          <cell r="F33">
            <v>20.8</v>
          </cell>
          <cell r="H33">
            <v>20.7</v>
          </cell>
          <cell r="I33">
            <v>20.7</v>
          </cell>
          <cell r="J33">
            <v>20.3</v>
          </cell>
          <cell r="K33">
            <v>20.399999999999999</v>
          </cell>
          <cell r="L33">
            <v>20.7</v>
          </cell>
          <cell r="N33">
            <v>20.6</v>
          </cell>
          <cell r="O33">
            <v>20.5</v>
          </cell>
          <cell r="P33">
            <v>20.7</v>
          </cell>
          <cell r="Q33">
            <v>20.9</v>
          </cell>
          <cell r="R33">
            <v>20.2</v>
          </cell>
          <cell r="W33">
            <v>20.5</v>
          </cell>
          <cell r="X33">
            <v>20.5</v>
          </cell>
          <cell r="Y33">
            <v>20.3</v>
          </cell>
        </row>
        <row r="40">
          <cell r="D40">
            <v>18.899999999999999</v>
          </cell>
          <cell r="E40">
            <v>18.600000000000001</v>
          </cell>
          <cell r="F40">
            <v>18.5</v>
          </cell>
          <cell r="H40">
            <v>18.399999999999999</v>
          </cell>
          <cell r="I40">
            <v>18.3</v>
          </cell>
          <cell r="J40">
            <v>18.600000000000001</v>
          </cell>
          <cell r="K40">
            <v>18.399999999999999</v>
          </cell>
          <cell r="L40">
            <v>18.399999999999999</v>
          </cell>
          <cell r="N40">
            <v>17.3</v>
          </cell>
          <cell r="O40">
            <v>16.8</v>
          </cell>
          <cell r="P40">
            <v>15.9</v>
          </cell>
          <cell r="Q40">
            <v>14.6</v>
          </cell>
          <cell r="R40">
            <v>13.4</v>
          </cell>
          <cell r="W40">
            <v>11.4</v>
          </cell>
          <cell r="X40">
            <v>11.4</v>
          </cell>
          <cell r="Y40">
            <v>11.4</v>
          </cell>
        </row>
        <row r="41">
          <cell r="D41">
            <v>18.7</v>
          </cell>
          <cell r="E41">
            <v>18.2</v>
          </cell>
          <cell r="F41">
            <v>18.399999999999999</v>
          </cell>
          <cell r="H41">
            <v>18.399999999999999</v>
          </cell>
          <cell r="I41">
            <v>18.5</v>
          </cell>
          <cell r="J41">
            <v>18.100000000000001</v>
          </cell>
          <cell r="K41">
            <v>18.100000000000001</v>
          </cell>
          <cell r="L41">
            <v>18</v>
          </cell>
          <cell r="N41">
            <v>17.8</v>
          </cell>
          <cell r="O41">
            <v>17.7</v>
          </cell>
          <cell r="P41">
            <v>18</v>
          </cell>
          <cell r="Q41">
            <v>18</v>
          </cell>
          <cell r="R41">
            <v>18.100000000000001</v>
          </cell>
          <cell r="W41">
            <v>17.600000000000001</v>
          </cell>
          <cell r="X41">
            <v>17.7</v>
          </cell>
          <cell r="Y41">
            <v>17.8</v>
          </cell>
        </row>
        <row r="42">
          <cell r="D42">
            <v>19.2</v>
          </cell>
          <cell r="E42">
            <v>19.100000000000001</v>
          </cell>
          <cell r="F42">
            <v>18.8</v>
          </cell>
          <cell r="H42">
            <v>18.600000000000001</v>
          </cell>
          <cell r="I42">
            <v>18.600000000000001</v>
          </cell>
          <cell r="J42">
            <v>18.5</v>
          </cell>
          <cell r="K42">
            <v>18.2</v>
          </cell>
          <cell r="L42">
            <v>18.3</v>
          </cell>
          <cell r="N42">
            <v>18.100000000000001</v>
          </cell>
          <cell r="O42">
            <v>18.100000000000001</v>
          </cell>
          <cell r="P42">
            <v>18.100000000000001</v>
          </cell>
          <cell r="Q42">
            <v>18.3</v>
          </cell>
          <cell r="R42">
            <v>18.7</v>
          </cell>
          <cell r="W42">
            <v>17.7</v>
          </cell>
          <cell r="X42">
            <v>18</v>
          </cell>
          <cell r="Y42">
            <v>17.2</v>
          </cell>
        </row>
        <row r="43">
          <cell r="D43">
            <v>21</v>
          </cell>
          <cell r="E43">
            <v>20.9</v>
          </cell>
          <cell r="F43">
            <v>20.399999999999999</v>
          </cell>
          <cell r="H43">
            <v>20.5</v>
          </cell>
          <cell r="I43">
            <v>20.6</v>
          </cell>
          <cell r="J43">
            <v>20.3</v>
          </cell>
          <cell r="K43">
            <v>20.100000000000001</v>
          </cell>
          <cell r="L43">
            <v>20.399999999999999</v>
          </cell>
          <cell r="N43">
            <v>20</v>
          </cell>
          <cell r="O43">
            <v>19.7</v>
          </cell>
          <cell r="P43">
            <v>20</v>
          </cell>
          <cell r="Q43">
            <v>20</v>
          </cell>
          <cell r="R43">
            <v>20.2</v>
          </cell>
          <cell r="W43">
            <v>20.5</v>
          </cell>
          <cell r="X43">
            <v>20.3</v>
          </cell>
          <cell r="Y43">
            <v>20</v>
          </cell>
        </row>
        <row r="44">
          <cell r="D44">
            <v>20.8</v>
          </cell>
          <cell r="E44">
            <v>20.6</v>
          </cell>
          <cell r="F44">
            <v>20.2</v>
          </cell>
          <cell r="H44">
            <v>20</v>
          </cell>
          <cell r="I44">
            <v>20</v>
          </cell>
          <cell r="J44">
            <v>20.100000000000001</v>
          </cell>
          <cell r="K44">
            <v>20</v>
          </cell>
          <cell r="L44">
            <v>20</v>
          </cell>
          <cell r="N44">
            <v>19.399999999999999</v>
          </cell>
          <cell r="O44">
            <v>19.2</v>
          </cell>
          <cell r="P44">
            <v>19</v>
          </cell>
          <cell r="Q44">
            <v>18.2</v>
          </cell>
          <cell r="R44">
            <v>18.399999999999999</v>
          </cell>
          <cell r="W44">
            <v>17.8</v>
          </cell>
          <cell r="X44">
            <v>17.7</v>
          </cell>
          <cell r="Y44">
            <v>17.7</v>
          </cell>
        </row>
        <row r="45">
          <cell r="D45">
            <v>18.8</v>
          </cell>
          <cell r="E45">
            <v>18.8</v>
          </cell>
          <cell r="F45">
            <v>18.3</v>
          </cell>
          <cell r="H45">
            <v>18.100000000000001</v>
          </cell>
          <cell r="I45">
            <v>18</v>
          </cell>
          <cell r="J45">
            <v>17.8</v>
          </cell>
          <cell r="K45">
            <v>17.899999999999999</v>
          </cell>
          <cell r="L45">
            <v>17.899999999999999</v>
          </cell>
          <cell r="N45">
            <v>17.2</v>
          </cell>
          <cell r="O45">
            <v>16.399999999999999</v>
          </cell>
          <cell r="P45">
            <v>15.1</v>
          </cell>
          <cell r="Q45">
            <v>14.4</v>
          </cell>
          <cell r="R45">
            <v>13.3</v>
          </cell>
          <cell r="W45">
            <v>11.1</v>
          </cell>
          <cell r="X45">
            <v>11.1</v>
          </cell>
          <cell r="Y45">
            <v>11.1</v>
          </cell>
        </row>
        <row r="46">
          <cell r="D46">
            <v>21.5</v>
          </cell>
          <cell r="E46">
            <v>21.5</v>
          </cell>
          <cell r="F46">
            <v>21.4</v>
          </cell>
          <cell r="H46">
            <v>21</v>
          </cell>
          <cell r="I46">
            <v>20.6</v>
          </cell>
          <cell r="J46">
            <v>20.6</v>
          </cell>
          <cell r="K46">
            <v>20.399999999999999</v>
          </cell>
          <cell r="L46">
            <v>20</v>
          </cell>
          <cell r="N46">
            <v>19.600000000000001</v>
          </cell>
          <cell r="O46">
            <v>19</v>
          </cell>
          <cell r="P46">
            <v>17.8</v>
          </cell>
          <cell r="Q46">
            <v>16.899999999999999</v>
          </cell>
          <cell r="R46">
            <v>15</v>
          </cell>
          <cell r="W46">
            <v>15</v>
          </cell>
          <cell r="X46">
            <v>15</v>
          </cell>
          <cell r="Y46">
            <v>15</v>
          </cell>
        </row>
        <row r="52">
          <cell r="D52">
            <v>19.5</v>
          </cell>
          <cell r="E52">
            <v>19.8</v>
          </cell>
          <cell r="F52">
            <v>20</v>
          </cell>
          <cell r="H52">
            <v>20</v>
          </cell>
          <cell r="I52">
            <v>19.8</v>
          </cell>
          <cell r="J52">
            <v>19.899999999999999</v>
          </cell>
          <cell r="K52">
            <v>19.7</v>
          </cell>
          <cell r="L52">
            <v>19.399999999999999</v>
          </cell>
          <cell r="N52">
            <v>19.5</v>
          </cell>
          <cell r="O52">
            <v>19.3</v>
          </cell>
          <cell r="P52">
            <v>20</v>
          </cell>
          <cell r="Q52">
            <v>20</v>
          </cell>
          <cell r="R52">
            <v>19.8</v>
          </cell>
          <cell r="W52">
            <v>20</v>
          </cell>
          <cell r="X52">
            <v>20.3</v>
          </cell>
          <cell r="Y52">
            <v>20.399999999999999</v>
          </cell>
        </row>
        <row r="53">
          <cell r="D53">
            <v>23.5</v>
          </cell>
          <cell r="E53">
            <v>23.8</v>
          </cell>
          <cell r="F53">
            <v>23.3</v>
          </cell>
          <cell r="H53">
            <v>23.3</v>
          </cell>
          <cell r="I53">
            <v>23.3</v>
          </cell>
          <cell r="J53">
            <v>23.2</v>
          </cell>
          <cell r="K53">
            <v>23.3</v>
          </cell>
          <cell r="L53">
            <v>23.5</v>
          </cell>
          <cell r="N53">
            <v>23.3</v>
          </cell>
          <cell r="O53">
            <v>23</v>
          </cell>
          <cell r="P53">
            <v>23</v>
          </cell>
          <cell r="Q53">
            <v>22.8</v>
          </cell>
          <cell r="R53">
            <v>22.5</v>
          </cell>
          <cell r="W53">
            <v>22.6</v>
          </cell>
          <cell r="X53">
            <v>22.6</v>
          </cell>
          <cell r="Y53">
            <v>22.6</v>
          </cell>
        </row>
        <row r="54">
          <cell r="D54">
            <v>21</v>
          </cell>
          <cell r="E54">
            <v>21</v>
          </cell>
          <cell r="F54">
            <v>21.3</v>
          </cell>
          <cell r="H54">
            <v>21.2</v>
          </cell>
          <cell r="I54">
            <v>21</v>
          </cell>
          <cell r="J54">
            <v>20.5</v>
          </cell>
          <cell r="K54">
            <v>20.399999999999999</v>
          </cell>
          <cell r="L54">
            <v>20.3</v>
          </cell>
          <cell r="N54">
            <v>20.5</v>
          </cell>
          <cell r="O54">
            <v>20.5</v>
          </cell>
          <cell r="P54">
            <v>20.8</v>
          </cell>
          <cell r="Q54">
            <v>20.9</v>
          </cell>
          <cell r="R54">
            <v>20.6</v>
          </cell>
          <cell r="W54">
            <v>21.3</v>
          </cell>
          <cell r="X54">
            <v>20.8</v>
          </cell>
          <cell r="Y54">
            <v>20.3</v>
          </cell>
        </row>
        <row r="55">
          <cell r="D55">
            <v>17.5</v>
          </cell>
          <cell r="E55">
            <v>17.899999999999999</v>
          </cell>
          <cell r="F55">
            <v>17.399999999999999</v>
          </cell>
          <cell r="H55">
            <v>17.7</v>
          </cell>
          <cell r="I55">
            <v>17.7</v>
          </cell>
          <cell r="J55">
            <v>17.7</v>
          </cell>
          <cell r="K55">
            <v>17.8</v>
          </cell>
          <cell r="L55">
            <v>17.600000000000001</v>
          </cell>
          <cell r="N55">
            <v>17.7</v>
          </cell>
          <cell r="O55">
            <v>17.8</v>
          </cell>
          <cell r="P55">
            <v>17.8</v>
          </cell>
          <cell r="Q55">
            <v>17.899999999999999</v>
          </cell>
          <cell r="R55">
            <v>18</v>
          </cell>
          <cell r="W55">
            <v>18.5</v>
          </cell>
          <cell r="X55">
            <v>17.5</v>
          </cell>
          <cell r="Y55">
            <v>17.5</v>
          </cell>
        </row>
        <row r="56">
          <cell r="D56">
            <v>20.399999999999999</v>
          </cell>
          <cell r="E56">
            <v>20.5</v>
          </cell>
          <cell r="F56">
            <v>20.8</v>
          </cell>
          <cell r="H56">
            <v>20.5</v>
          </cell>
          <cell r="I56">
            <v>20.3</v>
          </cell>
          <cell r="J56">
            <v>20.5</v>
          </cell>
          <cell r="K56">
            <v>20.5</v>
          </cell>
          <cell r="L56">
            <v>20.3</v>
          </cell>
          <cell r="N56">
            <v>20.399999999999999</v>
          </cell>
          <cell r="O56">
            <v>20.5</v>
          </cell>
          <cell r="P56">
            <v>20.5</v>
          </cell>
          <cell r="Q56">
            <v>20.6</v>
          </cell>
          <cell r="R56">
            <v>20.6</v>
          </cell>
          <cell r="W56">
            <v>21.7</v>
          </cell>
          <cell r="X56">
            <v>21.5</v>
          </cell>
          <cell r="Y56">
            <v>21.6</v>
          </cell>
        </row>
        <row r="57">
          <cell r="D57">
            <v>21</v>
          </cell>
          <cell r="E57">
            <v>20.8</v>
          </cell>
          <cell r="F57">
            <v>20.8</v>
          </cell>
          <cell r="H57">
            <v>20.6</v>
          </cell>
          <cell r="I57">
            <v>20.7</v>
          </cell>
          <cell r="J57">
            <v>20.9</v>
          </cell>
          <cell r="K57">
            <v>20.5</v>
          </cell>
          <cell r="L57">
            <v>20.2</v>
          </cell>
          <cell r="N57">
            <v>20.5</v>
          </cell>
          <cell r="O57">
            <v>20.9</v>
          </cell>
          <cell r="P57">
            <v>21.1</v>
          </cell>
          <cell r="Q57">
            <v>20.9</v>
          </cell>
          <cell r="R57">
            <v>20.5</v>
          </cell>
          <cell r="W57">
            <v>21.4</v>
          </cell>
          <cell r="X57">
            <v>21</v>
          </cell>
          <cell r="Y57">
            <v>21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6">
          <cell r="A6">
            <v>1.62</v>
          </cell>
          <cell r="B6">
            <v>400</v>
          </cell>
        </row>
        <row r="7">
          <cell r="A7">
            <v>1.869</v>
          </cell>
          <cell r="B7">
            <v>400</v>
          </cell>
        </row>
        <row r="10">
          <cell r="A10">
            <v>1.036</v>
          </cell>
          <cell r="B10">
            <v>200</v>
          </cell>
        </row>
        <row r="11">
          <cell r="A11">
            <v>1.042</v>
          </cell>
          <cell r="B11">
            <v>200</v>
          </cell>
        </row>
        <row r="14">
          <cell r="A14">
            <v>0.56200000000000006</v>
          </cell>
          <cell r="B14">
            <v>100</v>
          </cell>
        </row>
        <row r="15">
          <cell r="A15">
            <v>0.57599999999999996</v>
          </cell>
          <cell r="B15">
            <v>100</v>
          </cell>
        </row>
        <row r="18">
          <cell r="A18">
            <v>0.314</v>
          </cell>
          <cell r="B18">
            <v>50</v>
          </cell>
        </row>
        <row r="19">
          <cell r="A19">
            <v>0.29599999999999999</v>
          </cell>
          <cell r="B19">
            <v>50</v>
          </cell>
        </row>
        <row r="22">
          <cell r="A22">
            <v>0.17699999999999999</v>
          </cell>
          <cell r="B22">
            <v>25</v>
          </cell>
        </row>
        <row r="23">
          <cell r="A23">
            <v>0.188</v>
          </cell>
          <cell r="B23">
            <v>25</v>
          </cell>
        </row>
        <row r="26">
          <cell r="A26">
            <v>0.13100000000000001</v>
          </cell>
          <cell r="B26">
            <v>12.5</v>
          </cell>
        </row>
        <row r="27">
          <cell r="A27">
            <v>0.112</v>
          </cell>
          <cell r="B27">
            <v>12.5</v>
          </cell>
        </row>
        <row r="30">
          <cell r="A30">
            <v>6.7000000000000004E-2</v>
          </cell>
          <cell r="B30">
            <v>0</v>
          </cell>
        </row>
        <row r="31">
          <cell r="A31">
            <v>7.2999999999999995E-2</v>
          </cell>
          <cell r="B3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6">
          <cell r="A6">
            <v>1.6639999999999999</v>
          </cell>
          <cell r="B6">
            <v>400</v>
          </cell>
        </row>
        <row r="7">
          <cell r="A7">
            <v>1.67</v>
          </cell>
          <cell r="B7">
            <v>400</v>
          </cell>
        </row>
        <row r="8">
          <cell r="B8">
            <v>400</v>
          </cell>
        </row>
        <row r="9">
          <cell r="A9">
            <v>0.81100000000000005</v>
          </cell>
          <cell r="B9">
            <v>200</v>
          </cell>
        </row>
        <row r="10">
          <cell r="A10">
            <v>0.79800000000000004</v>
          </cell>
          <cell r="B10">
            <v>200</v>
          </cell>
        </row>
        <row r="11">
          <cell r="B11">
            <v>200</v>
          </cell>
        </row>
        <row r="12">
          <cell r="A12">
            <v>0.44500000000000001</v>
          </cell>
          <cell r="B12">
            <v>100</v>
          </cell>
        </row>
        <row r="13">
          <cell r="A13">
            <v>0.438</v>
          </cell>
          <cell r="B13">
            <v>100</v>
          </cell>
        </row>
        <row r="14">
          <cell r="B14">
            <v>100</v>
          </cell>
        </row>
        <row r="15">
          <cell r="A15">
            <v>0.29399999999999998</v>
          </cell>
          <cell r="B15">
            <v>50</v>
          </cell>
        </row>
        <row r="16">
          <cell r="A16">
            <v>0.28699999999999998</v>
          </cell>
          <cell r="B16">
            <v>50</v>
          </cell>
        </row>
        <row r="17">
          <cell r="B17">
            <v>50</v>
          </cell>
        </row>
        <row r="18">
          <cell r="A18">
            <v>0.17599999999999999</v>
          </cell>
          <cell r="B18">
            <v>25</v>
          </cell>
        </row>
        <row r="19">
          <cell r="A19">
            <v>0.16300000000000001</v>
          </cell>
          <cell r="B19">
            <v>25</v>
          </cell>
        </row>
        <row r="20">
          <cell r="B20">
            <v>25</v>
          </cell>
        </row>
        <row r="21">
          <cell r="A21">
            <v>0.129</v>
          </cell>
          <cell r="B21">
            <v>12.5</v>
          </cell>
        </row>
        <row r="22">
          <cell r="A22">
            <v>0.13700000000000001</v>
          </cell>
          <cell r="B22">
            <v>12.5</v>
          </cell>
        </row>
        <row r="23">
          <cell r="B23">
            <v>12.5</v>
          </cell>
        </row>
        <row r="24">
          <cell r="A24">
            <v>8.5000000000000006E-2</v>
          </cell>
          <cell r="B24">
            <v>0</v>
          </cell>
        </row>
        <row r="25">
          <cell r="A25">
            <v>8.5999999999999993E-2</v>
          </cell>
          <cell r="B25">
            <v>0</v>
          </cell>
        </row>
        <row r="26">
          <cell r="B26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Sheet3"/>
    </sheetNames>
    <sheetDataSet>
      <sheetData sheetId="0">
        <row r="6">
          <cell r="A6">
            <v>1.1719999999999999</v>
          </cell>
          <cell r="B6">
            <v>400</v>
          </cell>
        </row>
        <row r="7">
          <cell r="A7">
            <v>1.9159999999999999</v>
          </cell>
          <cell r="B7">
            <v>400</v>
          </cell>
        </row>
        <row r="8">
          <cell r="B8">
            <v>400</v>
          </cell>
        </row>
        <row r="9">
          <cell r="A9">
            <v>1.0269999999999999</v>
          </cell>
          <cell r="B9">
            <v>200</v>
          </cell>
        </row>
        <row r="10">
          <cell r="A10">
            <v>1.052</v>
          </cell>
          <cell r="B10">
            <v>200</v>
          </cell>
        </row>
        <row r="11">
          <cell r="B11">
            <v>200</v>
          </cell>
        </row>
        <row r="12">
          <cell r="A12">
            <v>0.58099999999999996</v>
          </cell>
          <cell r="B12">
            <v>100</v>
          </cell>
        </row>
        <row r="13">
          <cell r="A13">
            <v>0.53700000000000003</v>
          </cell>
          <cell r="B13">
            <v>100</v>
          </cell>
        </row>
        <row r="14">
          <cell r="B14">
            <v>100</v>
          </cell>
        </row>
        <row r="15">
          <cell r="A15">
            <v>0.314</v>
          </cell>
          <cell r="B15">
            <v>50</v>
          </cell>
        </row>
        <row r="16">
          <cell r="A16">
            <v>0.32300000000000001</v>
          </cell>
          <cell r="B16">
            <v>50</v>
          </cell>
        </row>
        <row r="17">
          <cell r="B17">
            <v>50</v>
          </cell>
        </row>
        <row r="18">
          <cell r="A18">
            <v>0.20499999999999999</v>
          </cell>
          <cell r="B18">
            <v>25</v>
          </cell>
        </row>
        <row r="19">
          <cell r="A19">
            <v>0.20799999999999999</v>
          </cell>
          <cell r="B19">
            <v>25</v>
          </cell>
        </row>
        <row r="20">
          <cell r="B20">
            <v>25</v>
          </cell>
        </row>
        <row r="21">
          <cell r="A21">
            <v>0.14499999999999999</v>
          </cell>
          <cell r="B21">
            <v>12.5</v>
          </cell>
        </row>
        <row r="22">
          <cell r="A22">
            <v>0.13600000000000001</v>
          </cell>
          <cell r="B22">
            <v>12.5</v>
          </cell>
        </row>
        <row r="23">
          <cell r="B23">
            <v>12.5</v>
          </cell>
        </row>
        <row r="24">
          <cell r="A24">
            <v>8.5000000000000006E-2</v>
          </cell>
          <cell r="B24">
            <v>0</v>
          </cell>
        </row>
        <row r="25">
          <cell r="A25">
            <v>0.08</v>
          </cell>
          <cell r="B25">
            <v>0</v>
          </cell>
        </row>
        <row r="26">
          <cell r="B26">
            <v>0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Change"/>
      <sheetName val="Sheet3"/>
    </sheetNames>
    <sheetDataSet>
      <sheetData sheetId="0">
        <row r="5">
          <cell r="D5">
            <v>18.3</v>
          </cell>
          <cell r="E5">
            <v>17.2</v>
          </cell>
          <cell r="H5">
            <v>17</v>
          </cell>
          <cell r="J5">
            <v>16.600000000000001</v>
          </cell>
          <cell r="L5">
            <v>18.7</v>
          </cell>
          <cell r="O5">
            <v>17.5</v>
          </cell>
          <cell r="Q5">
            <v>17.5</v>
          </cell>
          <cell r="S5">
            <v>17.7</v>
          </cell>
          <cell r="V5">
            <v>17.8</v>
          </cell>
          <cell r="Y5">
            <v>18.600000000000001</v>
          </cell>
        </row>
        <row r="6">
          <cell r="D6">
            <v>19.600000000000001</v>
          </cell>
          <cell r="E6">
            <v>18.399999999999999</v>
          </cell>
          <cell r="H6">
            <v>18.2</v>
          </cell>
          <cell r="J6">
            <v>18.8</v>
          </cell>
          <cell r="L6">
            <v>18.5</v>
          </cell>
          <cell r="O6">
            <v>19.7</v>
          </cell>
          <cell r="Q6">
            <v>19.600000000000001</v>
          </cell>
          <cell r="S6">
            <v>20.2</v>
          </cell>
          <cell r="V6">
            <v>20</v>
          </cell>
          <cell r="Y6">
            <v>21.6</v>
          </cell>
        </row>
        <row r="7">
          <cell r="D7">
            <v>17.100000000000001</v>
          </cell>
          <cell r="E7">
            <v>16.8</v>
          </cell>
          <cell r="H7">
            <v>16.8</v>
          </cell>
          <cell r="J7">
            <v>16.899999999999999</v>
          </cell>
          <cell r="L7">
            <v>16.8</v>
          </cell>
          <cell r="O7">
            <v>18.600000000000001</v>
          </cell>
          <cell r="Q7">
            <v>18.3</v>
          </cell>
          <cell r="S7">
            <v>18</v>
          </cell>
          <cell r="V7">
            <v>17.8</v>
          </cell>
          <cell r="Y7">
            <v>17.8</v>
          </cell>
        </row>
        <row r="8">
          <cell r="D8">
            <v>17</v>
          </cell>
          <cell r="E8">
            <v>16</v>
          </cell>
          <cell r="H8">
            <v>14.8</v>
          </cell>
          <cell r="J8">
            <v>14.5</v>
          </cell>
          <cell r="L8">
            <v>14.8</v>
          </cell>
          <cell r="O8">
            <v>16.3</v>
          </cell>
          <cell r="Q8">
            <v>16</v>
          </cell>
          <cell r="S8">
            <v>16.3</v>
          </cell>
          <cell r="V8">
            <v>16.8</v>
          </cell>
          <cell r="Y8">
            <v>17.2</v>
          </cell>
        </row>
        <row r="9">
          <cell r="D9">
            <v>17</v>
          </cell>
          <cell r="E9">
            <v>15.3</v>
          </cell>
          <cell r="H9">
            <v>16</v>
          </cell>
          <cell r="J9">
            <v>16.2</v>
          </cell>
          <cell r="L9">
            <v>16.7</v>
          </cell>
          <cell r="O9">
            <v>17.5</v>
          </cell>
          <cell r="Q9">
            <v>17.5</v>
          </cell>
          <cell r="S9">
            <v>17.5</v>
          </cell>
          <cell r="V9">
            <v>17.7</v>
          </cell>
          <cell r="Y9">
            <v>18</v>
          </cell>
        </row>
        <row r="10">
          <cell r="D10">
            <v>21.1</v>
          </cell>
          <cell r="E10">
            <v>20.7</v>
          </cell>
          <cell r="H10">
            <v>20.7</v>
          </cell>
          <cell r="J10">
            <v>21.5</v>
          </cell>
          <cell r="L10">
            <v>22.1</v>
          </cell>
          <cell r="O10">
            <v>22.4</v>
          </cell>
          <cell r="Q10">
            <v>22.6</v>
          </cell>
          <cell r="S10">
            <v>22.8</v>
          </cell>
          <cell r="V10">
            <v>23.3</v>
          </cell>
          <cell r="Y10">
            <v>23.1</v>
          </cell>
        </row>
        <row r="11">
          <cell r="D11">
            <v>21.1</v>
          </cell>
          <cell r="E11">
            <v>20.5</v>
          </cell>
          <cell r="H11">
            <v>19.7</v>
          </cell>
          <cell r="J11">
            <v>18.7</v>
          </cell>
          <cell r="L11">
            <v>18.3</v>
          </cell>
          <cell r="O11">
            <v>19.2</v>
          </cell>
          <cell r="Q11">
            <v>19.7</v>
          </cell>
          <cell r="S11">
            <v>19.899999999999999</v>
          </cell>
          <cell r="V11">
            <v>20</v>
          </cell>
          <cell r="Y11">
            <v>19.8</v>
          </cell>
        </row>
        <row r="12">
          <cell r="D12">
            <v>24.4</v>
          </cell>
          <cell r="E12">
            <v>23.8</v>
          </cell>
          <cell r="H12">
            <v>22.6</v>
          </cell>
          <cell r="J12">
            <v>22.9</v>
          </cell>
          <cell r="L12">
            <v>23.3</v>
          </cell>
          <cell r="O12">
            <v>24.1</v>
          </cell>
          <cell r="Q12">
            <v>24.2</v>
          </cell>
          <cell r="S12">
            <v>24.1</v>
          </cell>
          <cell r="V12">
            <v>24</v>
          </cell>
          <cell r="Y12">
            <v>23.8</v>
          </cell>
        </row>
        <row r="13">
          <cell r="D13">
            <v>19.5</v>
          </cell>
          <cell r="E13">
            <v>19.2</v>
          </cell>
          <cell r="H13">
            <v>19.100000000000001</v>
          </cell>
          <cell r="J13">
            <v>19.399999999999999</v>
          </cell>
          <cell r="L13">
            <v>18.399999999999999</v>
          </cell>
          <cell r="O13">
            <v>19.8</v>
          </cell>
          <cell r="Q13">
            <v>20.2</v>
          </cell>
          <cell r="S13">
            <v>21</v>
          </cell>
          <cell r="V13">
            <v>21.6</v>
          </cell>
          <cell r="Y13">
            <v>21.5</v>
          </cell>
        </row>
        <row r="21">
          <cell r="D21">
            <v>19.5</v>
          </cell>
          <cell r="E21">
            <v>18</v>
          </cell>
          <cell r="H21">
            <v>17.3</v>
          </cell>
          <cell r="J21">
            <v>16.7</v>
          </cell>
          <cell r="L21">
            <v>16.899999999999999</v>
          </cell>
          <cell r="O21">
            <v>16.5</v>
          </cell>
          <cell r="Q21">
            <v>15.5</v>
          </cell>
          <cell r="S21">
            <v>15.6</v>
          </cell>
          <cell r="V21">
            <v>15.6</v>
          </cell>
          <cell r="Y21">
            <v>16</v>
          </cell>
        </row>
        <row r="22">
          <cell r="D22">
            <v>19.5</v>
          </cell>
          <cell r="E22">
            <v>19</v>
          </cell>
          <cell r="H22">
            <v>19</v>
          </cell>
          <cell r="J22">
            <v>19</v>
          </cell>
          <cell r="L22">
            <v>18.8</v>
          </cell>
          <cell r="O22">
            <v>19.5</v>
          </cell>
          <cell r="Q22">
            <v>19.7</v>
          </cell>
          <cell r="S22">
            <v>20</v>
          </cell>
          <cell r="V22">
            <v>19.5</v>
          </cell>
          <cell r="Y22">
            <v>20.5</v>
          </cell>
        </row>
        <row r="23">
          <cell r="D23">
            <v>19.5</v>
          </cell>
          <cell r="E23">
            <v>17.899999999999999</v>
          </cell>
          <cell r="H23">
            <v>18.3</v>
          </cell>
          <cell r="J23">
            <v>17.8</v>
          </cell>
          <cell r="L23">
            <v>18</v>
          </cell>
          <cell r="O23">
            <v>19</v>
          </cell>
          <cell r="Q23">
            <v>19.3</v>
          </cell>
          <cell r="S23">
            <v>19.100000000000001</v>
          </cell>
          <cell r="V23">
            <v>19.8</v>
          </cell>
          <cell r="Y23">
            <v>20.2</v>
          </cell>
        </row>
        <row r="24">
          <cell r="D24">
            <v>19.399999999999999</v>
          </cell>
          <cell r="E24">
            <v>18.600000000000001</v>
          </cell>
          <cell r="H24">
            <v>17.100000000000001</v>
          </cell>
          <cell r="J24">
            <v>16.5</v>
          </cell>
          <cell r="L24">
            <v>15.7</v>
          </cell>
          <cell r="O24">
            <v>16.2</v>
          </cell>
          <cell r="Q24">
            <v>16.5</v>
          </cell>
          <cell r="S24">
            <v>15.6</v>
          </cell>
          <cell r="V24">
            <v>15.8</v>
          </cell>
          <cell r="Y24">
            <v>16.899999999999999</v>
          </cell>
        </row>
        <row r="25">
          <cell r="D25">
            <v>19.5</v>
          </cell>
          <cell r="E25">
            <v>18.7</v>
          </cell>
          <cell r="H25">
            <v>18</v>
          </cell>
          <cell r="J25">
            <v>17.8</v>
          </cell>
          <cell r="L25">
            <v>17.3</v>
          </cell>
          <cell r="O25">
            <v>17.8</v>
          </cell>
          <cell r="Q25">
            <v>18.2</v>
          </cell>
          <cell r="S25">
            <v>18.5</v>
          </cell>
          <cell r="V25">
            <v>18.600000000000001</v>
          </cell>
          <cell r="Y25">
            <v>19.100000000000001</v>
          </cell>
        </row>
        <row r="26">
          <cell r="D26">
            <v>21.3</v>
          </cell>
          <cell r="E26">
            <v>19.3</v>
          </cell>
          <cell r="H26">
            <v>17.5</v>
          </cell>
          <cell r="J26">
            <v>15.8</v>
          </cell>
          <cell r="L26">
            <v>14.4</v>
          </cell>
          <cell r="O26">
            <v>13.8</v>
          </cell>
          <cell r="Q26">
            <v>13.8</v>
          </cell>
          <cell r="S26">
            <v>13.8</v>
          </cell>
          <cell r="V26">
            <v>13.8</v>
          </cell>
          <cell r="Y26">
            <v>13.8</v>
          </cell>
        </row>
        <row r="27">
          <cell r="D27">
            <v>22.1</v>
          </cell>
          <cell r="E27">
            <v>21.5</v>
          </cell>
          <cell r="H27">
            <v>21.1</v>
          </cell>
          <cell r="J27">
            <v>20.7</v>
          </cell>
          <cell r="L27">
            <v>19.899999999999999</v>
          </cell>
          <cell r="O27">
            <v>20.9</v>
          </cell>
          <cell r="Q27">
            <v>21.1</v>
          </cell>
          <cell r="S27">
            <v>21.4</v>
          </cell>
          <cell r="V27">
            <v>21.8</v>
          </cell>
          <cell r="Y27">
            <v>22.2</v>
          </cell>
        </row>
        <row r="28">
          <cell r="D28">
            <v>22.5</v>
          </cell>
          <cell r="E28">
            <v>21.3</v>
          </cell>
          <cell r="H28">
            <v>20.6</v>
          </cell>
          <cell r="J28">
            <v>21</v>
          </cell>
          <cell r="L28">
            <v>20.7</v>
          </cell>
          <cell r="O28">
            <v>20.9</v>
          </cell>
          <cell r="Q28">
            <v>22.2</v>
          </cell>
          <cell r="S28">
            <v>22.9</v>
          </cell>
          <cell r="V28">
            <v>23</v>
          </cell>
          <cell r="Y28">
            <v>24</v>
          </cell>
        </row>
        <row r="29">
          <cell r="D29">
            <v>18.8</v>
          </cell>
          <cell r="E29">
            <v>18.8</v>
          </cell>
          <cell r="H29">
            <v>18.7</v>
          </cell>
          <cell r="J29">
            <v>18.100000000000001</v>
          </cell>
          <cell r="L29">
            <v>17.2</v>
          </cell>
          <cell r="O29">
            <v>16.899999999999999</v>
          </cell>
          <cell r="Q29">
            <v>16.5</v>
          </cell>
          <cell r="S29">
            <v>14.9</v>
          </cell>
          <cell r="V29">
            <v>15.3</v>
          </cell>
          <cell r="Y29">
            <v>16.8</v>
          </cell>
        </row>
        <row r="37">
          <cell r="D37">
            <v>17</v>
          </cell>
          <cell r="E37">
            <v>16.8</v>
          </cell>
          <cell r="H37">
            <v>16.2</v>
          </cell>
          <cell r="J37">
            <v>15.7</v>
          </cell>
          <cell r="L37">
            <v>15.5</v>
          </cell>
          <cell r="O37">
            <v>16.8</v>
          </cell>
          <cell r="Q37">
            <v>16.3</v>
          </cell>
          <cell r="S37">
            <v>16.5</v>
          </cell>
          <cell r="V37">
            <v>17</v>
          </cell>
          <cell r="Y37">
            <v>16.600000000000001</v>
          </cell>
        </row>
        <row r="38">
          <cell r="D38">
            <v>21.6</v>
          </cell>
          <cell r="E38">
            <v>20.2</v>
          </cell>
          <cell r="H38">
            <v>19.600000000000001</v>
          </cell>
          <cell r="J38">
            <v>19.5</v>
          </cell>
          <cell r="L38">
            <v>18.2</v>
          </cell>
          <cell r="O38">
            <v>18.8</v>
          </cell>
          <cell r="Q38">
            <v>18.7</v>
          </cell>
          <cell r="S38">
            <v>19</v>
          </cell>
          <cell r="V38">
            <v>18.5</v>
          </cell>
          <cell r="Y38">
            <v>19.100000000000001</v>
          </cell>
        </row>
        <row r="39">
          <cell r="D39">
            <v>23</v>
          </cell>
          <cell r="E39">
            <v>20.5</v>
          </cell>
          <cell r="H39">
            <v>22.2</v>
          </cell>
          <cell r="J39">
            <v>22.3</v>
          </cell>
          <cell r="L39">
            <v>22</v>
          </cell>
          <cell r="O39">
            <v>22.2</v>
          </cell>
          <cell r="Q39">
            <v>22.4</v>
          </cell>
          <cell r="S39">
            <v>23</v>
          </cell>
          <cell r="V39">
            <v>23</v>
          </cell>
          <cell r="Y39">
            <v>23.1</v>
          </cell>
        </row>
        <row r="40">
          <cell r="D40">
            <v>24.6</v>
          </cell>
          <cell r="E40">
            <v>23.4</v>
          </cell>
          <cell r="H40">
            <v>23.6</v>
          </cell>
          <cell r="J40">
            <v>23.2</v>
          </cell>
          <cell r="L40">
            <v>22.6</v>
          </cell>
          <cell r="O40">
            <v>23.2</v>
          </cell>
          <cell r="Q40">
            <v>22.8</v>
          </cell>
          <cell r="S40">
            <v>22.8</v>
          </cell>
          <cell r="V40">
            <v>22.4</v>
          </cell>
          <cell r="Y40">
            <v>22.8</v>
          </cell>
        </row>
        <row r="41">
          <cell r="D41">
            <v>24.2</v>
          </cell>
          <cell r="E41">
            <v>23.7</v>
          </cell>
          <cell r="H41">
            <v>23.8</v>
          </cell>
          <cell r="J41">
            <v>23</v>
          </cell>
          <cell r="L41">
            <v>22</v>
          </cell>
          <cell r="O41">
            <v>22.3</v>
          </cell>
          <cell r="Q41">
            <v>22.1</v>
          </cell>
          <cell r="S41">
            <v>22</v>
          </cell>
          <cell r="V41">
            <v>21.4</v>
          </cell>
          <cell r="Y41">
            <v>22.2</v>
          </cell>
        </row>
        <row r="42">
          <cell r="D42">
            <v>23.9</v>
          </cell>
          <cell r="E42">
            <v>23.4</v>
          </cell>
          <cell r="H42">
            <v>23.3</v>
          </cell>
          <cell r="J42">
            <v>22.2</v>
          </cell>
          <cell r="L42">
            <v>20.7</v>
          </cell>
          <cell r="O42">
            <v>19.8</v>
          </cell>
          <cell r="Q42">
            <v>18.8</v>
          </cell>
          <cell r="S42">
            <v>19</v>
          </cell>
          <cell r="V42">
            <v>18.5</v>
          </cell>
          <cell r="Y42">
            <v>19.7</v>
          </cell>
        </row>
        <row r="43">
          <cell r="D43">
            <v>23.8</v>
          </cell>
          <cell r="E43">
            <v>23.2</v>
          </cell>
          <cell r="H43">
            <v>23</v>
          </cell>
          <cell r="J43">
            <v>22.7</v>
          </cell>
          <cell r="L43">
            <v>22.2</v>
          </cell>
          <cell r="O43">
            <v>22.3</v>
          </cell>
          <cell r="Q43">
            <v>22.5</v>
          </cell>
          <cell r="S43">
            <v>22.3</v>
          </cell>
          <cell r="V43">
            <v>22</v>
          </cell>
          <cell r="Y43">
            <v>22.3</v>
          </cell>
        </row>
        <row r="44">
          <cell r="D44">
            <v>24.5</v>
          </cell>
          <cell r="E44">
            <v>24.2</v>
          </cell>
          <cell r="H44">
            <v>24</v>
          </cell>
          <cell r="J44">
            <v>24.2</v>
          </cell>
          <cell r="L44">
            <v>23.3</v>
          </cell>
          <cell r="O44">
            <v>24.3</v>
          </cell>
          <cell r="Q44">
            <v>24.3</v>
          </cell>
          <cell r="S44">
            <v>24.3</v>
          </cell>
          <cell r="V44">
            <v>24</v>
          </cell>
          <cell r="Y44">
            <v>25</v>
          </cell>
        </row>
        <row r="45">
          <cell r="D45">
            <v>23.6</v>
          </cell>
          <cell r="E45">
            <v>20.7</v>
          </cell>
          <cell r="H45">
            <v>20</v>
          </cell>
          <cell r="J45">
            <v>19.100000000000001</v>
          </cell>
          <cell r="L45">
            <v>18.5</v>
          </cell>
          <cell r="O45">
            <v>18.100000000000001</v>
          </cell>
          <cell r="Q45">
            <v>18</v>
          </cell>
          <cell r="S45">
            <v>18.399999999999999</v>
          </cell>
          <cell r="V45">
            <v>17.100000000000001</v>
          </cell>
          <cell r="Y45">
            <v>15.5</v>
          </cell>
        </row>
        <row r="53">
          <cell r="D53">
            <v>17</v>
          </cell>
          <cell r="H53">
            <v>17.2</v>
          </cell>
          <cell r="Q53">
            <v>17.399999999999999</v>
          </cell>
          <cell r="V53">
            <v>17.600000000000001</v>
          </cell>
          <cell r="X53">
            <v>17.899999999999999</v>
          </cell>
        </row>
        <row r="54">
          <cell r="D54">
            <v>19.8</v>
          </cell>
          <cell r="H54">
            <v>20</v>
          </cell>
          <cell r="Q54">
            <v>20</v>
          </cell>
          <cell r="V54">
            <v>19.899999999999999</v>
          </cell>
          <cell r="X54">
            <v>19.7</v>
          </cell>
        </row>
        <row r="55">
          <cell r="D55">
            <v>17.600000000000001</v>
          </cell>
          <cell r="H55">
            <v>17.7</v>
          </cell>
          <cell r="Q55">
            <v>18</v>
          </cell>
          <cell r="V55">
            <v>18.5</v>
          </cell>
          <cell r="X55">
            <v>18.5</v>
          </cell>
        </row>
        <row r="56">
          <cell r="D56">
            <v>19</v>
          </cell>
          <cell r="H56">
            <v>19.2</v>
          </cell>
          <cell r="Q56">
            <v>19.2</v>
          </cell>
          <cell r="V56">
            <v>20.100000000000001</v>
          </cell>
          <cell r="X56">
            <v>19.8</v>
          </cell>
        </row>
        <row r="57">
          <cell r="D57">
            <v>18.3</v>
          </cell>
          <cell r="H57">
            <v>18.399999999999999</v>
          </cell>
          <cell r="Q57">
            <v>18.399999999999999</v>
          </cell>
          <cell r="V57">
            <v>19.3</v>
          </cell>
          <cell r="X57">
            <v>18.600000000000001</v>
          </cell>
        </row>
        <row r="58">
          <cell r="D58">
            <v>26.6</v>
          </cell>
          <cell r="H58">
            <v>26.7</v>
          </cell>
          <cell r="Q58">
            <v>27</v>
          </cell>
          <cell r="V58">
            <v>27</v>
          </cell>
          <cell r="X58">
            <v>27.2</v>
          </cell>
        </row>
        <row r="59">
          <cell r="D59">
            <v>23.1</v>
          </cell>
          <cell r="H59">
            <v>23</v>
          </cell>
          <cell r="Q59">
            <v>23.3</v>
          </cell>
          <cell r="V59">
            <v>23.5</v>
          </cell>
          <cell r="X59">
            <v>23.6</v>
          </cell>
        </row>
        <row r="61">
          <cell r="D61">
            <v>24</v>
          </cell>
          <cell r="H61">
            <v>24.3</v>
          </cell>
          <cell r="Q61">
            <v>24.6</v>
          </cell>
          <cell r="V61">
            <v>24.8</v>
          </cell>
          <cell r="X61">
            <v>24.6</v>
          </cell>
        </row>
        <row r="62">
          <cell r="D62">
            <v>23.2</v>
          </cell>
          <cell r="H62">
            <v>23.2</v>
          </cell>
          <cell r="Q62">
            <v>23.4</v>
          </cell>
          <cell r="V62">
            <v>23.5</v>
          </cell>
          <cell r="X62">
            <v>23.3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6">
          <cell r="A6">
            <v>2.4590000000000001</v>
          </cell>
          <cell r="B6">
            <v>400</v>
          </cell>
        </row>
        <row r="7">
          <cell r="A7">
            <v>2.3370000000000002</v>
          </cell>
          <cell r="B7">
            <v>400</v>
          </cell>
        </row>
        <row r="8">
          <cell r="B8">
            <v>400</v>
          </cell>
        </row>
        <row r="9">
          <cell r="A9">
            <v>1.1100000000000001</v>
          </cell>
          <cell r="B9">
            <v>200</v>
          </cell>
        </row>
        <row r="10">
          <cell r="A10">
            <v>1.1870000000000001</v>
          </cell>
          <cell r="B10">
            <v>200</v>
          </cell>
        </row>
        <row r="11">
          <cell r="A11">
            <v>1.119</v>
          </cell>
          <cell r="B11">
            <v>200</v>
          </cell>
        </row>
        <row r="12">
          <cell r="A12">
            <v>0.62</v>
          </cell>
          <cell r="B12">
            <v>100</v>
          </cell>
        </row>
        <row r="13">
          <cell r="A13">
            <v>0.629</v>
          </cell>
          <cell r="B13">
            <v>100</v>
          </cell>
        </row>
        <row r="14">
          <cell r="A14">
            <v>0.59899999999999998</v>
          </cell>
          <cell r="B14">
            <v>100</v>
          </cell>
        </row>
        <row r="15">
          <cell r="A15">
            <v>0.38900000000000001</v>
          </cell>
          <cell r="B15">
            <v>50</v>
          </cell>
        </row>
        <row r="16">
          <cell r="A16">
            <v>0.36099999999999999</v>
          </cell>
          <cell r="B16">
            <v>50</v>
          </cell>
        </row>
        <row r="17">
          <cell r="A17">
            <v>0.32600000000000001</v>
          </cell>
          <cell r="B17">
            <v>50</v>
          </cell>
        </row>
        <row r="18">
          <cell r="A18">
            <v>0.23300000000000001</v>
          </cell>
          <cell r="B18">
            <v>25</v>
          </cell>
        </row>
        <row r="19">
          <cell r="A19">
            <v>0.24099999999999999</v>
          </cell>
          <cell r="B19">
            <v>25</v>
          </cell>
        </row>
        <row r="20">
          <cell r="A20">
            <v>0.23100000000000001</v>
          </cell>
          <cell r="B20">
            <v>25</v>
          </cell>
        </row>
        <row r="21">
          <cell r="A21">
            <v>0.17499999999999999</v>
          </cell>
          <cell r="B21">
            <v>12.5</v>
          </cell>
        </row>
        <row r="22">
          <cell r="A22">
            <v>0.17199999999999999</v>
          </cell>
          <cell r="B22">
            <v>12.5</v>
          </cell>
        </row>
        <row r="23">
          <cell r="A23">
            <v>0.16800000000000001</v>
          </cell>
          <cell r="B23">
            <v>12.5</v>
          </cell>
        </row>
        <row r="24">
          <cell r="A24">
            <v>0.13500000000000001</v>
          </cell>
          <cell r="B24">
            <v>6.25</v>
          </cell>
        </row>
        <row r="25">
          <cell r="A25">
            <v>0.13300000000000001</v>
          </cell>
          <cell r="B25">
            <v>6.25</v>
          </cell>
        </row>
        <row r="26">
          <cell r="A26">
            <v>0.13600000000000001</v>
          </cell>
          <cell r="B26">
            <v>6.25</v>
          </cell>
        </row>
        <row r="27">
          <cell r="A27">
            <v>0.10100000000000001</v>
          </cell>
          <cell r="B27">
            <v>0</v>
          </cell>
        </row>
        <row r="28">
          <cell r="A28">
            <v>9.5000000000000001E-2</v>
          </cell>
          <cell r="B28">
            <v>0</v>
          </cell>
        </row>
        <row r="29">
          <cell r="A29">
            <v>8.1000000000000003E-2</v>
          </cell>
          <cell r="B29">
            <v>0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Sheet3"/>
    </sheetNames>
    <sheetDataSet>
      <sheetData sheetId="0">
        <row r="6">
          <cell r="A6">
            <v>2.5642</v>
          </cell>
          <cell r="B6">
            <v>400</v>
          </cell>
        </row>
        <row r="7">
          <cell r="A7">
            <v>2.4853000000000001</v>
          </cell>
          <cell r="B7">
            <v>400</v>
          </cell>
        </row>
        <row r="8">
          <cell r="B8">
            <v>400</v>
          </cell>
        </row>
        <row r="9">
          <cell r="A9">
            <v>1.1214</v>
          </cell>
          <cell r="B9">
            <v>200</v>
          </cell>
        </row>
        <row r="10">
          <cell r="A10">
            <v>1.1385000000000001</v>
          </cell>
          <cell r="B10">
            <v>200</v>
          </cell>
        </row>
        <row r="11">
          <cell r="B11">
            <v>200</v>
          </cell>
        </row>
        <row r="12">
          <cell r="A12">
            <v>0.75470000000000004</v>
          </cell>
          <cell r="B12">
            <v>100</v>
          </cell>
        </row>
        <row r="13">
          <cell r="A13">
            <v>0.68340000000000001</v>
          </cell>
          <cell r="B13">
            <v>100</v>
          </cell>
        </row>
        <row r="14">
          <cell r="B14">
            <v>100</v>
          </cell>
        </row>
        <row r="15">
          <cell r="A15">
            <v>0.47349999999999998</v>
          </cell>
          <cell r="B15">
            <v>50</v>
          </cell>
        </row>
        <row r="16">
          <cell r="A16">
            <v>0.43819999999999998</v>
          </cell>
          <cell r="B16">
            <v>50</v>
          </cell>
        </row>
        <row r="17">
          <cell r="B17">
            <v>50</v>
          </cell>
        </row>
        <row r="18">
          <cell r="A18">
            <v>0.28660000000000002</v>
          </cell>
          <cell r="B18">
            <v>25</v>
          </cell>
        </row>
        <row r="19">
          <cell r="A19">
            <v>0.2742</v>
          </cell>
          <cell r="B19">
            <v>25</v>
          </cell>
        </row>
        <row r="20">
          <cell r="B20">
            <v>25</v>
          </cell>
        </row>
        <row r="21">
          <cell r="A21">
            <v>0.19309999999999999</v>
          </cell>
          <cell r="B21">
            <v>12.5</v>
          </cell>
        </row>
        <row r="22">
          <cell r="A22">
            <v>0.188</v>
          </cell>
          <cell r="B22">
            <v>12.5</v>
          </cell>
        </row>
        <row r="23">
          <cell r="B23">
            <v>12.5</v>
          </cell>
        </row>
        <row r="24">
          <cell r="A24">
            <v>0.10249999999999999</v>
          </cell>
          <cell r="B24">
            <v>6.25</v>
          </cell>
        </row>
        <row r="25">
          <cell r="A25">
            <v>0.1147</v>
          </cell>
          <cell r="B25">
            <v>6.25</v>
          </cell>
        </row>
        <row r="26">
          <cell r="B26">
            <v>6.25</v>
          </cell>
        </row>
        <row r="27">
          <cell r="A27">
            <v>8.6199999999999999E-2</v>
          </cell>
          <cell r="B27">
            <v>0</v>
          </cell>
        </row>
        <row r="28">
          <cell r="A28">
            <v>7.8E-2</v>
          </cell>
          <cell r="B28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Sheet3"/>
    </sheetNames>
    <sheetDataSet>
      <sheetData sheetId="0">
        <row r="6">
          <cell r="A6">
            <v>2.194</v>
          </cell>
          <cell r="B6">
            <v>400</v>
          </cell>
        </row>
        <row r="7">
          <cell r="A7">
            <v>2.6230000000000002</v>
          </cell>
          <cell r="B7">
            <v>400</v>
          </cell>
        </row>
        <row r="8">
          <cell r="A8">
            <v>2.4500000000000002</v>
          </cell>
          <cell r="B8">
            <v>400</v>
          </cell>
        </row>
        <row r="9">
          <cell r="A9">
            <v>1.1220000000000001</v>
          </cell>
          <cell r="B9">
            <v>200</v>
          </cell>
        </row>
        <row r="10">
          <cell r="A10">
            <v>1.167</v>
          </cell>
          <cell r="B10">
            <v>200</v>
          </cell>
        </row>
        <row r="11">
          <cell r="A11">
            <v>1.163</v>
          </cell>
          <cell r="B11">
            <v>200</v>
          </cell>
        </row>
        <row r="12">
          <cell r="A12">
            <v>0.70699999999999996</v>
          </cell>
          <cell r="B12">
            <v>100</v>
          </cell>
        </row>
        <row r="13">
          <cell r="A13">
            <v>0.71699999999999997</v>
          </cell>
          <cell r="B13">
            <v>100</v>
          </cell>
        </row>
        <row r="14">
          <cell r="A14">
            <v>0.69199999999999995</v>
          </cell>
          <cell r="B14">
            <v>100</v>
          </cell>
        </row>
        <row r="15">
          <cell r="A15">
            <v>0.59199999999999997</v>
          </cell>
          <cell r="B15">
            <v>50</v>
          </cell>
        </row>
        <row r="16">
          <cell r="A16">
            <v>0.56100000000000005</v>
          </cell>
          <cell r="B16">
            <v>50</v>
          </cell>
        </row>
        <row r="17">
          <cell r="A17">
            <v>0.54500000000000004</v>
          </cell>
          <cell r="B17">
            <v>50</v>
          </cell>
        </row>
        <row r="18">
          <cell r="A18">
            <v>0.40500000000000003</v>
          </cell>
          <cell r="B18">
            <v>25</v>
          </cell>
        </row>
        <row r="19">
          <cell r="A19">
            <v>0.40500000000000003</v>
          </cell>
          <cell r="B19">
            <v>25</v>
          </cell>
        </row>
        <row r="20">
          <cell r="A20">
            <v>0.39</v>
          </cell>
          <cell r="B20">
            <v>25</v>
          </cell>
        </row>
        <row r="21">
          <cell r="A21">
            <v>0.315</v>
          </cell>
          <cell r="B21">
            <v>12.5</v>
          </cell>
        </row>
        <row r="22">
          <cell r="A22">
            <v>0.32300000000000001</v>
          </cell>
          <cell r="B22">
            <v>12.5</v>
          </cell>
        </row>
        <row r="23">
          <cell r="A23">
            <v>0.32200000000000001</v>
          </cell>
          <cell r="B23">
            <v>12.5</v>
          </cell>
        </row>
        <row r="24">
          <cell r="A24">
            <v>0.25</v>
          </cell>
          <cell r="B24">
            <v>0</v>
          </cell>
        </row>
        <row r="25">
          <cell r="A25">
            <v>0.28199999999999997</v>
          </cell>
          <cell r="B25">
            <v>0</v>
          </cell>
        </row>
        <row r="26">
          <cell r="A26">
            <v>0.252</v>
          </cell>
          <cell r="B26">
            <v>0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Sheet3"/>
    </sheetNames>
    <sheetDataSet>
      <sheetData sheetId="0">
        <row r="6">
          <cell r="A6">
            <v>1.9134</v>
          </cell>
          <cell r="B6">
            <v>400</v>
          </cell>
        </row>
        <row r="7">
          <cell r="A7">
            <v>1.7850999999999999</v>
          </cell>
          <cell r="B7">
            <v>400</v>
          </cell>
        </row>
        <row r="8">
          <cell r="B8">
            <v>400</v>
          </cell>
        </row>
        <row r="9">
          <cell r="A9">
            <v>1.1688000000000001</v>
          </cell>
          <cell r="B9">
            <v>200</v>
          </cell>
        </row>
        <row r="10">
          <cell r="A10">
            <v>1.0227599999999999</v>
          </cell>
          <cell r="B10">
            <v>200</v>
          </cell>
        </row>
        <row r="11">
          <cell r="B11">
            <v>200</v>
          </cell>
        </row>
        <row r="12">
          <cell r="A12">
            <v>0.66930000000000001</v>
          </cell>
          <cell r="B12">
            <v>100</v>
          </cell>
        </row>
        <row r="13">
          <cell r="A13">
            <v>0.66469999999999996</v>
          </cell>
          <cell r="B13">
            <v>100</v>
          </cell>
        </row>
        <row r="14">
          <cell r="B14">
            <v>100</v>
          </cell>
        </row>
        <row r="15">
          <cell r="A15">
            <v>0.38300000000000001</v>
          </cell>
          <cell r="B15">
            <v>50</v>
          </cell>
        </row>
        <row r="16">
          <cell r="A16">
            <v>0.33339999999999997</v>
          </cell>
          <cell r="B16">
            <v>50</v>
          </cell>
        </row>
        <row r="17">
          <cell r="B17">
            <v>50</v>
          </cell>
        </row>
        <row r="18">
          <cell r="A18">
            <v>0.1908</v>
          </cell>
          <cell r="B18">
            <v>25</v>
          </cell>
        </row>
        <row r="19">
          <cell r="A19">
            <v>0.21820000000000001</v>
          </cell>
          <cell r="B19">
            <v>25</v>
          </cell>
        </row>
        <row r="20">
          <cell r="B20">
            <v>25</v>
          </cell>
        </row>
        <row r="21">
          <cell r="A21">
            <v>0.14130000000000001</v>
          </cell>
          <cell r="B21">
            <v>12.5</v>
          </cell>
        </row>
        <row r="22">
          <cell r="A22">
            <v>0.1409</v>
          </cell>
          <cell r="B22">
            <v>12.5</v>
          </cell>
        </row>
        <row r="23">
          <cell r="B23">
            <v>12.5</v>
          </cell>
        </row>
        <row r="24">
          <cell r="A24">
            <v>0.11749999999999999</v>
          </cell>
          <cell r="B24">
            <v>6.25</v>
          </cell>
        </row>
        <row r="25">
          <cell r="A25">
            <v>0.11020000000000001</v>
          </cell>
          <cell r="B25">
            <v>6.25</v>
          </cell>
        </row>
        <row r="26">
          <cell r="B26">
            <v>6.25</v>
          </cell>
        </row>
        <row r="27">
          <cell r="A27">
            <v>5.6099999999999997E-2</v>
          </cell>
          <cell r="B27">
            <v>0</v>
          </cell>
        </row>
        <row r="28">
          <cell r="A28">
            <v>6.59E-2</v>
          </cell>
          <cell r="B28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68"/>
  <sheetViews>
    <sheetView topLeftCell="A34" workbookViewId="0">
      <selection activeCell="G64" sqref="G64"/>
    </sheetView>
  </sheetViews>
  <sheetFormatPr defaultRowHeight="13.2" x14ac:dyDescent="0.25"/>
  <cols>
    <col min="1" max="1" width="11.21875" customWidth="1"/>
    <col min="2" max="2" width="11" customWidth="1"/>
  </cols>
  <sheetData>
    <row r="1" spans="1:25" ht="13.8" thickBot="1" x14ac:dyDescent="0.3">
      <c r="B1" t="s">
        <v>49</v>
      </c>
    </row>
    <row r="2" spans="1:25" ht="13.8" thickBot="1" x14ac:dyDescent="0.3">
      <c r="A2" s="169" t="s">
        <v>84</v>
      </c>
      <c r="B2" s="170"/>
      <c r="C2" s="170"/>
      <c r="D2" s="171" t="s">
        <v>50</v>
      </c>
      <c r="E2" s="171" t="s">
        <v>51</v>
      </c>
      <c r="F2" s="171" t="s">
        <v>52</v>
      </c>
      <c r="G2" s="171" t="s">
        <v>53</v>
      </c>
      <c r="H2" s="171" t="s">
        <v>54</v>
      </c>
      <c r="I2" s="171" t="s">
        <v>55</v>
      </c>
      <c r="J2" s="171" t="s">
        <v>56</v>
      </c>
      <c r="K2" s="171" t="s">
        <v>57</v>
      </c>
      <c r="L2" s="171" t="s">
        <v>58</v>
      </c>
      <c r="M2" s="171">
        <v>41944</v>
      </c>
      <c r="N2" s="171">
        <v>41945</v>
      </c>
      <c r="O2" s="171">
        <v>41946</v>
      </c>
      <c r="P2" s="171">
        <v>41947</v>
      </c>
      <c r="Q2" s="171">
        <v>41948</v>
      </c>
      <c r="R2" s="171">
        <v>41949</v>
      </c>
      <c r="S2" s="171">
        <v>41950</v>
      </c>
      <c r="T2" s="171">
        <v>41951</v>
      </c>
      <c r="U2" s="171">
        <v>41952</v>
      </c>
      <c r="V2" s="171">
        <v>41953</v>
      </c>
      <c r="W2" s="171">
        <v>41954</v>
      </c>
      <c r="X2" s="171">
        <v>41955</v>
      </c>
      <c r="Y2" s="171">
        <v>41956</v>
      </c>
    </row>
    <row r="3" spans="1:25" ht="13.8" thickBot="1" x14ac:dyDescent="0.3">
      <c r="A3" s="172"/>
      <c r="B3" s="170"/>
      <c r="C3" s="173" t="s">
        <v>59</v>
      </c>
      <c r="D3" s="174" t="s">
        <v>60</v>
      </c>
      <c r="E3" s="174" t="s">
        <v>61</v>
      </c>
      <c r="F3" s="174" t="s">
        <v>62</v>
      </c>
      <c r="G3" s="174" t="s">
        <v>63</v>
      </c>
      <c r="H3" s="174" t="s">
        <v>64</v>
      </c>
      <c r="I3" s="174" t="s">
        <v>65</v>
      </c>
      <c r="J3" s="174" t="s">
        <v>66</v>
      </c>
      <c r="K3" s="174" t="s">
        <v>67</v>
      </c>
      <c r="L3" s="174" t="s">
        <v>68</v>
      </c>
      <c r="M3" s="174" t="s">
        <v>69</v>
      </c>
      <c r="N3" s="174" t="s">
        <v>70</v>
      </c>
      <c r="O3" s="174" t="s">
        <v>71</v>
      </c>
      <c r="P3" s="174" t="s">
        <v>72</v>
      </c>
      <c r="Q3" s="174" t="s">
        <v>73</v>
      </c>
      <c r="R3" s="174" t="s">
        <v>74</v>
      </c>
      <c r="S3" s="174" t="s">
        <v>75</v>
      </c>
      <c r="T3" s="174" t="s">
        <v>76</v>
      </c>
      <c r="U3" s="174" t="s">
        <v>77</v>
      </c>
      <c r="V3" s="174" t="s">
        <v>78</v>
      </c>
      <c r="W3" s="174" t="s">
        <v>79</v>
      </c>
      <c r="X3" s="174" t="s">
        <v>80</v>
      </c>
      <c r="Y3" s="174" t="s">
        <v>81</v>
      </c>
    </row>
    <row r="4" spans="1:25" x14ac:dyDescent="0.25">
      <c r="A4" s="175">
        <v>7052</v>
      </c>
      <c r="B4" s="176" t="s">
        <v>82</v>
      </c>
      <c r="C4" s="177">
        <v>105</v>
      </c>
      <c r="D4" s="178">
        <f>[1]Data!D4-21</f>
        <v>0</v>
      </c>
      <c r="E4" s="179">
        <f>[1]Data!E4-21</f>
        <v>0.19999999999999929</v>
      </c>
      <c r="F4" s="179">
        <f>[1]Data!F4-21</f>
        <v>0.39999999999999858</v>
      </c>
      <c r="G4" s="179"/>
      <c r="H4" s="179">
        <f>[1]Data!H4-21</f>
        <v>0.39999999999999858</v>
      </c>
      <c r="I4" s="179">
        <f>[1]Data!I4-21</f>
        <v>0.5</v>
      </c>
      <c r="J4" s="179">
        <f>[1]Data!J4-21</f>
        <v>0.39999999999999858</v>
      </c>
      <c r="K4" s="179">
        <f>[1]Data!K4-21</f>
        <v>0.19999999999999929</v>
      </c>
      <c r="L4" s="179">
        <f>[1]Data!L4-21</f>
        <v>-0.10000000000000142</v>
      </c>
      <c r="M4" s="179"/>
      <c r="N4" s="179">
        <f>[1]Data!N4-21</f>
        <v>-0.10000000000000142</v>
      </c>
      <c r="O4" s="179">
        <f>[1]Data!O4-21</f>
        <v>-0.19999999999999929</v>
      </c>
      <c r="P4" s="179">
        <f>[1]Data!P4-21</f>
        <v>0</v>
      </c>
      <c r="Q4" s="179">
        <f>[1]Data!Q4-21</f>
        <v>-0.19999999999999929</v>
      </c>
      <c r="R4" s="179">
        <f>[1]Data!R4-21</f>
        <v>-0.60000000000000142</v>
      </c>
      <c r="S4" s="179"/>
      <c r="T4" s="179"/>
      <c r="U4" s="179"/>
      <c r="V4" s="179"/>
      <c r="W4" s="179">
        <f>[1]Data!W4-21</f>
        <v>-0.19999999999999929</v>
      </c>
      <c r="X4" s="179">
        <f>[1]Data!X4-21</f>
        <v>-0.19999999999999929</v>
      </c>
      <c r="Y4" s="179">
        <f>[1]Data!Y4-21</f>
        <v>-0.19999999999999929</v>
      </c>
    </row>
    <row r="5" spans="1:25" x14ac:dyDescent="0.25">
      <c r="A5" s="139">
        <v>7208</v>
      </c>
      <c r="B5" s="23" t="s">
        <v>82</v>
      </c>
      <c r="C5" s="180">
        <v>100</v>
      </c>
      <c r="D5" s="181">
        <f>[1]Data!D5-20.5</f>
        <v>0</v>
      </c>
      <c r="E5" s="182">
        <f>[1]Data!E5-20.5</f>
        <v>0.10000000000000142</v>
      </c>
      <c r="F5" s="182">
        <f>[1]Data!F5-20.5</f>
        <v>0.89999999999999858</v>
      </c>
      <c r="G5" s="182"/>
      <c r="H5" s="182">
        <f>[1]Data!H5-20.5</f>
        <v>0.5</v>
      </c>
      <c r="I5" s="182">
        <f>[1]Data!I5-20.5</f>
        <v>0.30000000000000071</v>
      </c>
      <c r="J5" s="182">
        <f>[1]Data!J5-20.5</f>
        <v>0.30000000000000071</v>
      </c>
      <c r="K5" s="182">
        <f>[1]Data!K5-20.5</f>
        <v>0.30000000000000071</v>
      </c>
      <c r="L5" s="182">
        <f>[1]Data!L5-20.5</f>
        <v>0.19999999999999929</v>
      </c>
      <c r="M5" s="182"/>
      <c r="N5" s="182">
        <f>[1]Data!N5-20.5</f>
        <v>0.10000000000000142</v>
      </c>
      <c r="O5" s="182">
        <f>[1]Data!O5-20.5</f>
        <v>-0.10000000000000142</v>
      </c>
      <c r="P5" s="182">
        <f>[1]Data!P5-20.5</f>
        <v>0.30000000000000071</v>
      </c>
      <c r="Q5" s="182">
        <f>[1]Data!Q5-20.5</f>
        <v>-0.10000000000000142</v>
      </c>
      <c r="R5" s="182">
        <f>[1]Data!R5-20.5</f>
        <v>0</v>
      </c>
      <c r="S5" s="182"/>
      <c r="T5" s="182"/>
      <c r="U5" s="182"/>
      <c r="V5" s="182"/>
      <c r="W5" s="182">
        <f>[1]Data!W5-20.5</f>
        <v>-0.30000000000000071</v>
      </c>
      <c r="X5" s="182">
        <f>[1]Data!X5-20.5</f>
        <v>-0.39999999999999858</v>
      </c>
      <c r="Y5" s="182">
        <f>[1]Data!Y5-20.5</f>
        <v>-0.69999999999999929</v>
      </c>
    </row>
    <row r="6" spans="1:25" x14ac:dyDescent="0.25">
      <c r="A6" s="139">
        <v>7091</v>
      </c>
      <c r="B6" s="23" t="s">
        <v>82</v>
      </c>
      <c r="C6" s="180">
        <v>115</v>
      </c>
      <c r="D6" s="181">
        <f>[1]Data!D6-23.1</f>
        <v>0</v>
      </c>
      <c r="E6" s="182">
        <f>[1]Data!E6-23.1</f>
        <v>0</v>
      </c>
      <c r="F6" s="182">
        <f>[1]Data!F6-23.1</f>
        <v>9.9999999999997868E-2</v>
      </c>
      <c r="G6" s="182"/>
      <c r="H6" s="182">
        <f>[1]Data!H6-23.1</f>
        <v>-0.10000000000000142</v>
      </c>
      <c r="I6" s="182">
        <f>[1]Data!I6-23.1</f>
        <v>-0.10000000000000142</v>
      </c>
      <c r="J6" s="182">
        <f>[1]Data!J6-23.1</f>
        <v>-0.20000000000000284</v>
      </c>
      <c r="K6" s="182">
        <f>[1]Data!K6-23.1</f>
        <v>-0.30000000000000071</v>
      </c>
      <c r="L6" s="182">
        <f>[1]Data!L6-23.1</f>
        <v>-0.5</v>
      </c>
      <c r="M6" s="182"/>
      <c r="N6" s="182">
        <f>[1]Data!N6-23.1</f>
        <v>-0.5</v>
      </c>
      <c r="O6" s="182">
        <f>[1]Data!O6-23.1</f>
        <v>-0.60000000000000142</v>
      </c>
      <c r="P6" s="182">
        <f>[1]Data!P6-23.1</f>
        <v>-0.70000000000000284</v>
      </c>
      <c r="Q6" s="182">
        <f>[1]Data!Q6-23.1</f>
        <v>-0.90000000000000213</v>
      </c>
      <c r="R6" s="182">
        <f>[1]Data!R6-23.1</f>
        <v>-0.80000000000000071</v>
      </c>
      <c r="S6" s="182"/>
      <c r="T6" s="182"/>
      <c r="U6" s="182"/>
      <c r="V6" s="182"/>
      <c r="W6" s="182">
        <f>[1]Data!W6-23.1</f>
        <v>-0.70000000000000284</v>
      </c>
      <c r="X6" s="182">
        <f>[1]Data!X6-23.1</f>
        <v>-0.60000000000000142</v>
      </c>
      <c r="Y6" s="182">
        <f>[1]Data!Y6-23.1</f>
        <v>-0.60000000000000142</v>
      </c>
    </row>
    <row r="7" spans="1:25" x14ac:dyDescent="0.25">
      <c r="A7" s="139">
        <v>7089</v>
      </c>
      <c r="B7" s="23" t="s">
        <v>82</v>
      </c>
      <c r="C7" s="180">
        <v>115</v>
      </c>
      <c r="D7" s="181">
        <f>[1]Data!D7-23.1</f>
        <v>0</v>
      </c>
      <c r="E7" s="182">
        <f>[1]Data!E7-23.1</f>
        <v>0.29999999999999716</v>
      </c>
      <c r="F7" s="182">
        <f>[1]Data!F7-23.1</f>
        <v>9.9999999999997868E-2</v>
      </c>
      <c r="G7" s="182"/>
      <c r="H7" s="182">
        <f>[1]Data!H7-23.1</f>
        <v>0.19999999999999929</v>
      </c>
      <c r="I7" s="182">
        <f>[1]Data!I7-23.1</f>
        <v>9.9999999999997868E-2</v>
      </c>
      <c r="J7" s="182">
        <f>[1]Data!J7-23.1</f>
        <v>-0.10000000000000142</v>
      </c>
      <c r="K7" s="182">
        <f>[1]Data!K7-23.1</f>
        <v>-0.10000000000000142</v>
      </c>
      <c r="L7" s="182">
        <f>[1]Data!L7-23.1</f>
        <v>-0.30000000000000071</v>
      </c>
      <c r="M7" s="182"/>
      <c r="N7" s="182">
        <f>[1]Data!N7-23.1</f>
        <v>-0.30000000000000071</v>
      </c>
      <c r="O7" s="182">
        <f>[1]Data!O7-23.1</f>
        <v>-0.30000000000000071</v>
      </c>
      <c r="P7" s="182">
        <f>[1]Data!P7-23.1</f>
        <v>9.9999999999997868E-2</v>
      </c>
      <c r="Q7" s="182">
        <f>[1]Data!Q7-23.1</f>
        <v>-0.10000000000000142</v>
      </c>
      <c r="R7" s="182">
        <f>[1]Data!R7-23.1</f>
        <v>-0.30000000000000071</v>
      </c>
      <c r="S7" s="182"/>
      <c r="T7" s="182"/>
      <c r="U7" s="182"/>
      <c r="V7" s="182"/>
      <c r="W7" s="182">
        <f>[1]Data!W7-23.1</f>
        <v>-0.10000000000000142</v>
      </c>
      <c r="X7" s="182">
        <f>[1]Data!X7-23.1</f>
        <v>0</v>
      </c>
      <c r="Y7" s="182">
        <f>[1]Data!Y7-23.1</f>
        <v>0.5</v>
      </c>
    </row>
    <row r="8" spans="1:25" x14ac:dyDescent="0.25">
      <c r="A8" s="139">
        <v>7467</v>
      </c>
      <c r="B8" s="23" t="s">
        <v>82</v>
      </c>
      <c r="C8" s="180">
        <v>80</v>
      </c>
      <c r="D8" s="181">
        <f>[1]Data!D8-17.2</f>
        <v>0</v>
      </c>
      <c r="E8" s="182">
        <f>[1]Data!E8-17.2</f>
        <v>-0.19999999999999929</v>
      </c>
      <c r="F8" s="182">
        <f>[1]Data!F8-17.2</f>
        <v>-0.39999999999999858</v>
      </c>
      <c r="G8" s="182"/>
      <c r="H8" s="182">
        <f>[1]Data!H8-17.2</f>
        <v>-0.5</v>
      </c>
      <c r="I8" s="182">
        <f>[1]Data!I8-17.2</f>
        <v>-0.59999999999999787</v>
      </c>
      <c r="J8" s="182">
        <f>[1]Data!J8-17.2</f>
        <v>-0.69999999999999929</v>
      </c>
      <c r="K8" s="182">
        <f>[1]Data!K8-17.2</f>
        <v>-1</v>
      </c>
      <c r="L8" s="182">
        <f>[1]Data!L8-17.2</f>
        <v>-0.69999999999999929</v>
      </c>
      <c r="M8" s="182"/>
      <c r="N8" s="182">
        <f>[1]Data!N8-17.2</f>
        <v>-0.80000000000000071</v>
      </c>
      <c r="O8" s="182">
        <f>[1]Data!O8-17.2</f>
        <v>-0.69999999999999929</v>
      </c>
      <c r="P8" s="182">
        <f>[1]Data!P8-17.2</f>
        <v>-0.69999999999999929</v>
      </c>
      <c r="Q8" s="182">
        <f>[1]Data!Q8-17.2</f>
        <v>-1</v>
      </c>
      <c r="R8" s="182">
        <f>[1]Data!R8-17.2</f>
        <v>-0.89999999999999858</v>
      </c>
      <c r="S8" s="182"/>
      <c r="T8" s="182"/>
      <c r="U8" s="182"/>
      <c r="V8" s="182"/>
      <c r="W8" s="182">
        <f>[1]Data!W8-17.2</f>
        <v>-9.9999999999997868E-2</v>
      </c>
      <c r="X8" s="182">
        <f>[1]Data!X8-17.2</f>
        <v>-0.5</v>
      </c>
      <c r="Y8" s="182">
        <f>[1]Data!Y8-17.2</f>
        <v>-0.80000000000000071</v>
      </c>
    </row>
    <row r="9" spans="1:25" ht="13.8" thickBot="1" x14ac:dyDescent="0.3">
      <c r="A9" s="183">
        <v>7466</v>
      </c>
      <c r="B9" s="28" t="s">
        <v>82</v>
      </c>
      <c r="C9" s="184">
        <v>85</v>
      </c>
      <c r="D9" s="185">
        <f>[1]Data!D9-17.6</f>
        <v>0</v>
      </c>
      <c r="E9" s="186">
        <f>[1]Data!E9-17.6</f>
        <v>0.39999999999999858</v>
      </c>
      <c r="F9" s="186">
        <f>[1]Data!F9-17.6</f>
        <v>9.9999999999997868E-2</v>
      </c>
      <c r="G9" s="186"/>
      <c r="H9" s="186">
        <f>[1]Data!H9-17.6</f>
        <v>0.19999999999999929</v>
      </c>
      <c r="I9" s="186">
        <f>[1]Data!I9-17.6</f>
        <v>0</v>
      </c>
      <c r="J9" s="186">
        <f>[1]Data!J9-17.6</f>
        <v>0</v>
      </c>
      <c r="K9" s="186">
        <f>[1]Data!K9-17.6</f>
        <v>-0.20000000000000284</v>
      </c>
      <c r="L9" s="186">
        <f>[1]Data!L9-17.6</f>
        <v>-0.20000000000000284</v>
      </c>
      <c r="M9" s="186"/>
      <c r="N9" s="186">
        <f>[1]Data!N9-17.6</f>
        <v>-0.10000000000000142</v>
      </c>
      <c r="O9" s="186">
        <f>[1]Data!O9-17.6</f>
        <v>-0.10000000000000142</v>
      </c>
      <c r="P9" s="186">
        <f>[1]Data!P9-17.6</f>
        <v>-0.40000000000000213</v>
      </c>
      <c r="Q9" s="186">
        <f>[1]Data!Q9-17.6</f>
        <v>-0.40000000000000213</v>
      </c>
      <c r="R9" s="186">
        <f>[1]Data!R9-17.6</f>
        <v>9.9999999999997868E-2</v>
      </c>
      <c r="S9" s="186"/>
      <c r="T9" s="186"/>
      <c r="U9" s="186"/>
      <c r="V9" s="186"/>
      <c r="W9" s="186">
        <f>[1]Data!W9-17.6</f>
        <v>-0.20000000000000284</v>
      </c>
      <c r="X9" s="186">
        <f>[1]Data!X9-17.6</f>
        <v>0.19999999999999929</v>
      </c>
      <c r="Y9" s="186">
        <f>[1]Data!Y9-17.6</f>
        <v>0</v>
      </c>
    </row>
    <row r="10" spans="1:25" ht="13.8" thickBot="1" x14ac:dyDescent="0.3">
      <c r="A10" s="169" t="s">
        <v>84</v>
      </c>
      <c r="B10" s="187"/>
      <c r="C10" s="187"/>
      <c r="D10" s="188">
        <f>AVERAGE(D4:D9)</f>
        <v>0</v>
      </c>
      <c r="E10" s="188">
        <f t="shared" ref="E10:Y10" si="0">AVERAGE(E4:E9)</f>
        <v>0.13333333333333286</v>
      </c>
      <c r="F10" s="188">
        <f t="shared" si="0"/>
        <v>0.19999999999999871</v>
      </c>
      <c r="G10" s="188" t="e">
        <f t="shared" si="0"/>
        <v>#DIV/0!</v>
      </c>
      <c r="H10" s="188">
        <f t="shared" si="0"/>
        <v>0.11666666666666596</v>
      </c>
      <c r="I10" s="188">
        <f t="shared" si="0"/>
        <v>3.3333333333333215E-2</v>
      </c>
      <c r="J10" s="188">
        <f t="shared" si="0"/>
        <v>-5.0000000000000711E-2</v>
      </c>
      <c r="K10" s="188">
        <f t="shared" si="0"/>
        <v>-0.18333333333333415</v>
      </c>
      <c r="L10" s="188">
        <f t="shared" si="0"/>
        <v>-0.2666666666666675</v>
      </c>
      <c r="M10" s="188" t="e">
        <f t="shared" si="0"/>
        <v>#DIV/0!</v>
      </c>
      <c r="N10" s="188">
        <f t="shared" si="0"/>
        <v>-0.28333333333333383</v>
      </c>
      <c r="O10" s="188">
        <f t="shared" si="0"/>
        <v>-0.33333333333333393</v>
      </c>
      <c r="P10" s="188">
        <f t="shared" si="0"/>
        <v>-0.23333333333333428</v>
      </c>
      <c r="Q10" s="188">
        <f t="shared" si="0"/>
        <v>-0.45000000000000107</v>
      </c>
      <c r="R10" s="188">
        <f t="shared" si="0"/>
        <v>-0.41666666666666724</v>
      </c>
      <c r="S10" s="188" t="e">
        <f t="shared" si="0"/>
        <v>#DIV/0!</v>
      </c>
      <c r="T10" s="188" t="e">
        <f t="shared" si="0"/>
        <v>#DIV/0!</v>
      </c>
      <c r="U10" s="188" t="e">
        <f t="shared" si="0"/>
        <v>#DIV/0!</v>
      </c>
      <c r="V10" s="188" t="e">
        <f t="shared" si="0"/>
        <v>#DIV/0!</v>
      </c>
      <c r="W10" s="188">
        <f t="shared" si="0"/>
        <v>-0.2666666666666675</v>
      </c>
      <c r="X10" s="188">
        <f t="shared" si="0"/>
        <v>-0.25</v>
      </c>
      <c r="Y10" s="188">
        <f t="shared" si="0"/>
        <v>-0.3000000000000001</v>
      </c>
    </row>
    <row r="11" spans="1:25" ht="13.8" thickBot="1" x14ac:dyDescent="0.3">
      <c r="A11" s="5"/>
      <c r="B11" s="187"/>
      <c r="C11" s="187"/>
      <c r="D11" s="189">
        <f>STDEV(D4:D9)/SQRT(COUNT(D4:D9))</f>
        <v>0</v>
      </c>
      <c r="E11" s="189">
        <f t="shared" ref="E11:Y11" si="1">STDEV(E4:E9)/SQRT(COUNT(E4:E9))</f>
        <v>8.8191710368819246E-2</v>
      </c>
      <c r="F11" s="189">
        <f t="shared" si="1"/>
        <v>0.17511900715418235</v>
      </c>
      <c r="G11" s="189" t="e">
        <f t="shared" si="1"/>
        <v>#DIV/0!</v>
      </c>
      <c r="H11" s="189">
        <f t="shared" si="1"/>
        <v>0.14925742118158736</v>
      </c>
      <c r="I11" s="189">
        <f t="shared" si="1"/>
        <v>0.15420044674960479</v>
      </c>
      <c r="J11" s="189">
        <f t="shared" si="1"/>
        <v>0.16072751268321586</v>
      </c>
      <c r="K11" s="189">
        <f t="shared" si="1"/>
        <v>0.18870906472957552</v>
      </c>
      <c r="L11" s="189">
        <f t="shared" si="1"/>
        <v>0.12823589374447536</v>
      </c>
      <c r="M11" s="189" t="e">
        <f t="shared" si="1"/>
        <v>#DIV/0!</v>
      </c>
      <c r="N11" s="189">
        <f t="shared" si="1"/>
        <v>0.13270686158262934</v>
      </c>
      <c r="O11" s="189">
        <f t="shared" si="1"/>
        <v>0.10540925533894582</v>
      </c>
      <c r="P11" s="189">
        <f t="shared" si="1"/>
        <v>0.17448336437736556</v>
      </c>
      <c r="Q11" s="189">
        <f t="shared" si="1"/>
        <v>0.16482313753434819</v>
      </c>
      <c r="R11" s="189">
        <f t="shared" si="1"/>
        <v>0.17013066873566435</v>
      </c>
      <c r="S11" s="189" t="e">
        <f t="shared" si="1"/>
        <v>#DIV/0!</v>
      </c>
      <c r="T11" s="189" t="e">
        <f t="shared" si="1"/>
        <v>#DIV/0!</v>
      </c>
      <c r="U11" s="189" t="e">
        <f t="shared" si="1"/>
        <v>#DIV/0!</v>
      </c>
      <c r="V11" s="189" t="e">
        <f t="shared" si="1"/>
        <v>#DIV/0!</v>
      </c>
      <c r="W11" s="189">
        <f t="shared" si="1"/>
        <v>9.1893658347268578E-2</v>
      </c>
      <c r="X11" s="189">
        <f t="shared" si="1"/>
        <v>0.12583057392117916</v>
      </c>
      <c r="Y11" s="189">
        <f t="shared" si="1"/>
        <v>0.20330600909302554</v>
      </c>
    </row>
    <row r="12" spans="1:25" x14ac:dyDescent="0.25">
      <c r="A12" s="5"/>
      <c r="B12" s="51"/>
      <c r="C12" s="187"/>
      <c r="D12" s="190"/>
      <c r="E12" s="190"/>
      <c r="F12" s="190"/>
      <c r="G12" s="190"/>
      <c r="H12" s="190"/>
      <c r="I12" s="190"/>
      <c r="J12" s="190"/>
    </row>
    <row r="13" spans="1:25" ht="13.8" thickBot="1" x14ac:dyDescent="0.3">
      <c r="A13" s="5"/>
      <c r="B13" s="51"/>
      <c r="C13" s="187"/>
      <c r="D13" s="190"/>
      <c r="E13" s="190"/>
      <c r="F13" s="190"/>
      <c r="G13" s="190"/>
      <c r="H13" s="190"/>
      <c r="I13" s="190"/>
      <c r="J13" s="190"/>
    </row>
    <row r="14" spans="1:25" ht="13.8" thickBot="1" x14ac:dyDescent="0.3">
      <c r="A14" s="169" t="s">
        <v>85</v>
      </c>
      <c r="B14" s="170"/>
      <c r="C14" s="170"/>
      <c r="D14" s="171" t="s">
        <v>50</v>
      </c>
      <c r="E14" s="171" t="s">
        <v>51</v>
      </c>
      <c r="F14" s="171" t="s">
        <v>52</v>
      </c>
      <c r="G14" s="171" t="s">
        <v>53</v>
      </c>
      <c r="H14" s="171" t="s">
        <v>54</v>
      </c>
      <c r="I14" s="171" t="s">
        <v>55</v>
      </c>
      <c r="J14" s="171" t="s">
        <v>56</v>
      </c>
      <c r="K14" s="171" t="s">
        <v>57</v>
      </c>
      <c r="L14" s="171" t="s">
        <v>58</v>
      </c>
      <c r="M14" s="171">
        <v>41944</v>
      </c>
      <c r="N14" s="171">
        <v>41945</v>
      </c>
      <c r="O14" s="171">
        <v>41946</v>
      </c>
      <c r="P14" s="171">
        <v>41947</v>
      </c>
      <c r="Q14" s="171">
        <v>41948</v>
      </c>
      <c r="R14" s="171">
        <v>41949</v>
      </c>
      <c r="S14" s="171">
        <v>41950</v>
      </c>
      <c r="T14" s="171">
        <v>41951</v>
      </c>
      <c r="U14" s="171">
        <v>41952</v>
      </c>
      <c r="V14" s="171">
        <v>41953</v>
      </c>
      <c r="W14" s="171">
        <v>41954</v>
      </c>
      <c r="X14" s="171">
        <v>41955</v>
      </c>
      <c r="Y14" s="171">
        <v>41956</v>
      </c>
    </row>
    <row r="15" spans="1:25" ht="13.8" thickBot="1" x14ac:dyDescent="0.3">
      <c r="A15" s="172"/>
      <c r="B15" s="170"/>
      <c r="C15" s="173" t="s">
        <v>59</v>
      </c>
      <c r="D15" s="174" t="s">
        <v>60</v>
      </c>
      <c r="E15" s="174" t="s">
        <v>61</v>
      </c>
      <c r="F15" s="174" t="s">
        <v>62</v>
      </c>
      <c r="G15" s="174" t="s">
        <v>63</v>
      </c>
      <c r="H15" s="174" t="s">
        <v>64</v>
      </c>
      <c r="I15" s="174" t="s">
        <v>65</v>
      </c>
      <c r="J15" s="174" t="s">
        <v>66</v>
      </c>
      <c r="K15" s="174" t="s">
        <v>67</v>
      </c>
      <c r="L15" s="174" t="s">
        <v>68</v>
      </c>
      <c r="M15" s="174" t="s">
        <v>69</v>
      </c>
      <c r="N15" s="174" t="s">
        <v>70</v>
      </c>
      <c r="O15" s="174" t="s">
        <v>71</v>
      </c>
      <c r="P15" s="174" t="s">
        <v>72</v>
      </c>
      <c r="Q15" s="174" t="s">
        <v>73</v>
      </c>
      <c r="R15" s="174" t="s">
        <v>74</v>
      </c>
      <c r="S15" s="174" t="s">
        <v>75</v>
      </c>
      <c r="T15" s="174" t="s">
        <v>76</v>
      </c>
      <c r="U15" s="174" t="s">
        <v>77</v>
      </c>
      <c r="V15" s="174" t="s">
        <v>78</v>
      </c>
      <c r="W15" s="174" t="s">
        <v>79</v>
      </c>
      <c r="X15" s="174" t="s">
        <v>80</v>
      </c>
      <c r="Y15" s="174" t="s">
        <v>81</v>
      </c>
    </row>
    <row r="16" spans="1:25" x14ac:dyDescent="0.25">
      <c r="A16" s="175">
        <v>7537</v>
      </c>
      <c r="B16" s="176" t="s">
        <v>82</v>
      </c>
      <c r="C16" s="177">
        <v>90</v>
      </c>
      <c r="D16" s="178">
        <f>[1]Data!D16-18</f>
        <v>0</v>
      </c>
      <c r="E16" s="179">
        <f>[1]Data!E16-18</f>
        <v>-0.19999999999999929</v>
      </c>
      <c r="F16" s="179">
        <f>[1]Data!F16-18</f>
        <v>-0.80000000000000071</v>
      </c>
      <c r="G16" s="179"/>
      <c r="H16" s="179">
        <f>[1]Data!H16-18</f>
        <v>-1</v>
      </c>
      <c r="I16" s="179">
        <f>[1]Data!I16-18</f>
        <v>-1.5</v>
      </c>
      <c r="J16" s="179">
        <f>[1]Data!J16-18</f>
        <v>-1.3000000000000007</v>
      </c>
      <c r="K16" s="179">
        <f>[1]Data!K16-18</f>
        <v>-1.1999999999999993</v>
      </c>
      <c r="L16" s="179">
        <f>[1]Data!L16-18</f>
        <v>-1.1999999999999993</v>
      </c>
      <c r="M16" s="179"/>
      <c r="N16" s="179">
        <f>[1]Data!N16-18</f>
        <v>-1.6999999999999993</v>
      </c>
      <c r="O16" s="179">
        <f>[1]Data!O16-18</f>
        <v>-2.0999999999999996</v>
      </c>
      <c r="P16" s="179">
        <f>[1]Data!P16-18</f>
        <v>-2.5999999999999996</v>
      </c>
      <c r="Q16" s="179">
        <f>[1]Data!Q16-18</f>
        <v>-3.1999999999999993</v>
      </c>
      <c r="R16" s="179">
        <f>[1]Data!R16-18</f>
        <v>-2.8000000000000007</v>
      </c>
      <c r="S16" s="179"/>
      <c r="T16" s="179"/>
      <c r="U16" s="179"/>
      <c r="V16" s="179"/>
      <c r="W16" s="179">
        <f>[1]Data!W16-18</f>
        <v>-6.1999999999999993</v>
      </c>
      <c r="X16" s="179">
        <f>[1]Data!X16-18</f>
        <v>-6.1999999999999993</v>
      </c>
      <c r="Y16" s="179">
        <f>[1]Data!Y16-18</f>
        <v>-6.1999999999999993</v>
      </c>
    </row>
    <row r="17" spans="1:25" x14ac:dyDescent="0.25">
      <c r="A17" s="139">
        <v>7535</v>
      </c>
      <c r="B17" s="23" t="s">
        <v>82</v>
      </c>
      <c r="C17" s="180">
        <v>95</v>
      </c>
      <c r="D17" s="181">
        <f>[1]Data!D17-19</f>
        <v>0</v>
      </c>
      <c r="E17" s="182">
        <f>[1]Data!E17-19</f>
        <v>-0.39999999999999858</v>
      </c>
      <c r="F17" s="182">
        <f>[1]Data!F17-19</f>
        <v>-0.39999999999999858</v>
      </c>
      <c r="G17" s="182"/>
      <c r="H17" s="182">
        <f>[1]Data!H17-19</f>
        <v>-0.80000000000000071</v>
      </c>
      <c r="I17" s="182">
        <f>[1]Data!I17-19</f>
        <v>-1</v>
      </c>
      <c r="J17" s="182">
        <f>[1]Data!J17-19</f>
        <v>-1.1999999999999993</v>
      </c>
      <c r="K17" s="182">
        <f>[1]Data!K17-19</f>
        <v>-1.1000000000000014</v>
      </c>
      <c r="L17" s="182">
        <f>[1]Data!L17-19</f>
        <v>-1</v>
      </c>
      <c r="M17" s="182"/>
      <c r="N17" s="182">
        <f>[1]Data!N17-19</f>
        <v>-1.8000000000000007</v>
      </c>
      <c r="O17" s="182">
        <f>[1]Data!O17-19</f>
        <v>-3.5999999999999996</v>
      </c>
      <c r="P17" s="182">
        <f>[1]Data!P17-19</f>
        <v>-4.4000000000000004</v>
      </c>
      <c r="Q17" s="182">
        <f>[1]Data!Q17-19</f>
        <v>-5.1999999999999993</v>
      </c>
      <c r="R17" s="182">
        <f>[1]Data!R17-19</f>
        <v>-5.8000000000000007</v>
      </c>
      <c r="S17" s="182"/>
      <c r="T17" s="182"/>
      <c r="U17" s="182"/>
      <c r="V17" s="182"/>
      <c r="W17" s="182">
        <f>[1]Data!W17-19</f>
        <v>-8.6</v>
      </c>
      <c r="X17" s="182">
        <f>[1]Data!X17-19</f>
        <v>-8.6</v>
      </c>
      <c r="Y17" s="182">
        <f>[1]Data!Y17-19</f>
        <v>-8.6</v>
      </c>
    </row>
    <row r="18" spans="1:25" x14ac:dyDescent="0.25">
      <c r="A18" s="139">
        <v>7442</v>
      </c>
      <c r="B18" s="23" t="s">
        <v>82</v>
      </c>
      <c r="C18" s="180">
        <v>105</v>
      </c>
      <c r="D18" s="181">
        <f>[1]Data!D18-20.5</f>
        <v>0</v>
      </c>
      <c r="E18" s="182">
        <f>[1]Data!E18-20.5</f>
        <v>0.30000000000000071</v>
      </c>
      <c r="F18" s="182">
        <f>[1]Data!F18-20.5</f>
        <v>-0.19999999999999929</v>
      </c>
      <c r="G18" s="182"/>
      <c r="H18" s="182">
        <f>[1]Data!H18-20.5</f>
        <v>-0.5</v>
      </c>
      <c r="I18" s="182">
        <f>[1]Data!I18-20.5</f>
        <v>-0.5</v>
      </c>
      <c r="J18" s="182">
        <f>[1]Data!J18-20.5</f>
        <v>-0.80000000000000071</v>
      </c>
      <c r="K18" s="182">
        <f>[1]Data!K18-20.5</f>
        <v>-0.80000000000000071</v>
      </c>
      <c r="L18" s="182">
        <f>[1]Data!L18-20.5</f>
        <v>-0.69999999999999929</v>
      </c>
      <c r="M18" s="182"/>
      <c r="N18" s="182">
        <f>[1]Data!N18-20.5</f>
        <v>-1.1000000000000014</v>
      </c>
      <c r="O18" s="182">
        <f>[1]Data!O18-20.5</f>
        <v>-1.3000000000000007</v>
      </c>
      <c r="P18" s="182">
        <f>[1]Data!P18-20.5</f>
        <v>-0.80000000000000071</v>
      </c>
      <c r="Q18" s="182">
        <f>[1]Data!Q18-20.5</f>
        <v>-1.1000000000000014</v>
      </c>
      <c r="R18" s="182">
        <f>[1]Data!R18-20.5</f>
        <v>-1.5</v>
      </c>
      <c r="S18" s="182"/>
      <c r="T18" s="182"/>
      <c r="U18" s="182"/>
      <c r="V18" s="182"/>
      <c r="W18" s="182">
        <f>[1]Data!W18-20.5</f>
        <v>-0.89999999999999858</v>
      </c>
      <c r="X18" s="182">
        <f>[1]Data!X18-20.5</f>
        <v>-0.89999999999999858</v>
      </c>
      <c r="Y18" s="182">
        <f>[1]Data!Y18-20.5</f>
        <v>-1.1999999999999993</v>
      </c>
    </row>
    <row r="19" spans="1:25" x14ac:dyDescent="0.25">
      <c r="A19" s="139">
        <v>7539</v>
      </c>
      <c r="B19" s="23" t="s">
        <v>83</v>
      </c>
      <c r="C19" s="180">
        <v>105</v>
      </c>
      <c r="D19" s="181">
        <f>[1]Data!D19-21.5</f>
        <v>0</v>
      </c>
      <c r="E19" s="182">
        <f>[1]Data!E19-21.5</f>
        <v>0</v>
      </c>
      <c r="F19" s="182">
        <f>[1]Data!F19-21.5</f>
        <v>0.10000000000000142</v>
      </c>
      <c r="G19" s="182"/>
      <c r="H19" s="182">
        <f>[1]Data!H19-21.5</f>
        <v>-0.10000000000000142</v>
      </c>
      <c r="I19" s="182">
        <f>[1]Data!I19-21.5</f>
        <v>-0.19999999999999929</v>
      </c>
      <c r="J19" s="182">
        <f>[1]Data!J19-21.5</f>
        <v>-0.10000000000000142</v>
      </c>
      <c r="K19" s="182">
        <f>[1]Data!K19-21.5</f>
        <v>-0.5</v>
      </c>
      <c r="L19" s="182">
        <f>[1]Data!L19-21.5</f>
        <v>-0.5</v>
      </c>
      <c r="M19" s="182"/>
      <c r="N19" s="182">
        <f>[1]Data!N19-21.5</f>
        <v>-1.3000000000000007</v>
      </c>
      <c r="O19" s="182">
        <f>[1]Data!O19-21.5</f>
        <v>-2.1000000000000014</v>
      </c>
      <c r="P19" s="182">
        <f>[1]Data!P19-21.5</f>
        <v>-2.8999999999999986</v>
      </c>
      <c r="Q19" s="182">
        <f>[1]Data!Q19-21.5</f>
        <v>-4.1999999999999993</v>
      </c>
      <c r="R19" s="182">
        <f>[1]Data!R19-21.5</f>
        <v>-4.8999999999999986</v>
      </c>
      <c r="S19" s="182"/>
      <c r="T19" s="182"/>
      <c r="U19" s="182"/>
      <c r="V19" s="182"/>
      <c r="W19" s="182">
        <f>[1]Data!W19-21.5</f>
        <v>-8.5</v>
      </c>
      <c r="X19" s="182">
        <f>[1]Data!X19-21.5</f>
        <v>-8.5</v>
      </c>
      <c r="Y19" s="182">
        <f>[1]Data!Y19-21.5</f>
        <v>-8.5</v>
      </c>
    </row>
    <row r="20" spans="1:25" x14ac:dyDescent="0.25">
      <c r="A20" s="139">
        <v>7446</v>
      </c>
      <c r="B20" s="23" t="s">
        <v>83</v>
      </c>
      <c r="C20" s="180">
        <v>120</v>
      </c>
      <c r="D20" s="181">
        <f>[1]Data!D20-23.9</f>
        <v>0</v>
      </c>
      <c r="E20" s="182">
        <f>[1]Data!E20-23.9</f>
        <v>0.10000000000000142</v>
      </c>
      <c r="F20" s="182">
        <f>[1]Data!F20-23.9</f>
        <v>0.30000000000000071</v>
      </c>
      <c r="G20" s="182"/>
      <c r="H20" s="182">
        <f>[1]Data!H20-23.9</f>
        <v>-0.39999999999999858</v>
      </c>
      <c r="I20" s="182">
        <f>[1]Data!I20-23.9</f>
        <v>-0.79999999999999716</v>
      </c>
      <c r="J20" s="182">
        <f>[1]Data!J20-23.9</f>
        <v>-1.2999999999999972</v>
      </c>
      <c r="K20" s="182">
        <f>[1]Data!K20-23.9</f>
        <v>-1.5</v>
      </c>
      <c r="L20" s="182">
        <f>[1]Data!L20-23.9</f>
        <v>-1.7999999999999972</v>
      </c>
      <c r="M20" s="182"/>
      <c r="N20" s="182">
        <f>[1]Data!N20-23.9</f>
        <v>-2.5</v>
      </c>
      <c r="O20" s="182">
        <f>[1]Data!O20-23.9</f>
        <v>-3</v>
      </c>
      <c r="P20" s="182">
        <f>[1]Data!P20-23.9</f>
        <v>-3.1999999999999993</v>
      </c>
      <c r="Q20" s="182">
        <f>[1]Data!Q20-23.9</f>
        <v>-3.2999999999999972</v>
      </c>
      <c r="R20" s="182">
        <f>[1]Data!R20-23.9</f>
        <v>-3.5999999999999979</v>
      </c>
      <c r="S20" s="182"/>
      <c r="T20" s="182"/>
      <c r="U20" s="182"/>
      <c r="V20" s="182"/>
      <c r="W20" s="182">
        <f>[1]Data!W20-23.9</f>
        <v>-4.2999999999999972</v>
      </c>
      <c r="X20" s="182">
        <f>[1]Data!X20-23.9</f>
        <v>-4.5999999999999979</v>
      </c>
      <c r="Y20" s="182">
        <f>[1]Data!Y20-23.9</f>
        <v>-5.2999999999999972</v>
      </c>
    </row>
    <row r="21" spans="1:25" ht="13.8" thickBot="1" x14ac:dyDescent="0.3">
      <c r="A21" s="183">
        <v>7282</v>
      </c>
      <c r="B21" s="28" t="s">
        <v>83</v>
      </c>
      <c r="C21" s="184">
        <v>120</v>
      </c>
      <c r="D21" s="185">
        <f>[1]Data!D21-24</f>
        <v>0</v>
      </c>
      <c r="E21" s="186">
        <f>[1]Data!E21-24</f>
        <v>-0.19999999999999929</v>
      </c>
      <c r="F21" s="186">
        <f>[1]Data!F21-24</f>
        <v>0</v>
      </c>
      <c r="G21" s="186"/>
      <c r="H21" s="186">
        <f>[1]Data!H21-24</f>
        <v>-0.19999999999999929</v>
      </c>
      <c r="I21" s="186">
        <f>[1]Data!I21-24</f>
        <v>-0.19999999999999929</v>
      </c>
      <c r="J21" s="186">
        <f>[1]Data!J21-24</f>
        <v>0</v>
      </c>
      <c r="K21" s="186">
        <f>[1]Data!K21-24</f>
        <v>-0.19999999999999929</v>
      </c>
      <c r="L21" s="186">
        <f>[1]Data!L21-24</f>
        <v>-0.39999999999999858</v>
      </c>
      <c r="M21" s="186"/>
      <c r="N21" s="186">
        <f>[1]Data!N21-24</f>
        <v>-1</v>
      </c>
      <c r="O21" s="186">
        <f>[1]Data!O21-24</f>
        <v>-1.3999999999999986</v>
      </c>
      <c r="P21" s="186">
        <f>[1]Data!P21-24</f>
        <v>-1.8000000000000007</v>
      </c>
      <c r="Q21" s="186">
        <f>[1]Data!Q21-24</f>
        <v>-4</v>
      </c>
      <c r="R21" s="186">
        <f>[1]Data!R21-24</f>
        <v>-4.6000000000000014</v>
      </c>
      <c r="S21" s="186"/>
      <c r="T21" s="186"/>
      <c r="U21" s="186"/>
      <c r="V21" s="186"/>
      <c r="W21" s="186">
        <f>[1]Data!W21-24</f>
        <v>-5.8000000000000007</v>
      </c>
      <c r="X21" s="186">
        <f>[1]Data!X21-24</f>
        <v>-6</v>
      </c>
      <c r="Y21" s="186">
        <f>[1]Data!Y21-24</f>
        <v>-6.1999999999999993</v>
      </c>
    </row>
    <row r="22" spans="1:25" ht="13.8" thickBot="1" x14ac:dyDescent="0.3">
      <c r="A22" s="169" t="s">
        <v>85</v>
      </c>
      <c r="B22" s="187"/>
      <c r="C22" s="187"/>
      <c r="D22" s="188">
        <f>AVERAGE(D16:D21)</f>
        <v>0</v>
      </c>
      <c r="E22" s="188">
        <f t="shared" ref="E22:Y22" si="2">AVERAGE(E16:E21)</f>
        <v>-6.6666666666665833E-2</v>
      </c>
      <c r="F22" s="188">
        <f t="shared" si="2"/>
        <v>-0.16666666666666607</v>
      </c>
      <c r="G22" s="188" t="e">
        <f t="shared" si="2"/>
        <v>#DIV/0!</v>
      </c>
      <c r="H22" s="188">
        <f t="shared" si="2"/>
        <v>-0.5</v>
      </c>
      <c r="I22" s="188">
        <f t="shared" si="2"/>
        <v>-0.69999999999999929</v>
      </c>
      <c r="J22" s="188">
        <f t="shared" si="2"/>
        <v>-0.78333333333333321</v>
      </c>
      <c r="K22" s="188">
        <f t="shared" si="2"/>
        <v>-0.88333333333333341</v>
      </c>
      <c r="L22" s="188">
        <f t="shared" si="2"/>
        <v>-0.93333333333333235</v>
      </c>
      <c r="M22" s="188" t="e">
        <f t="shared" si="2"/>
        <v>#DIV/0!</v>
      </c>
      <c r="N22" s="188">
        <f t="shared" si="2"/>
        <v>-1.5666666666666671</v>
      </c>
      <c r="O22" s="188">
        <f t="shared" si="2"/>
        <v>-2.25</v>
      </c>
      <c r="P22" s="188">
        <f t="shared" si="2"/>
        <v>-2.6166666666666667</v>
      </c>
      <c r="Q22" s="188">
        <f t="shared" si="2"/>
        <v>-3.4999999999999996</v>
      </c>
      <c r="R22" s="188">
        <f t="shared" si="2"/>
        <v>-3.8666666666666667</v>
      </c>
      <c r="S22" s="188" t="e">
        <f t="shared" si="2"/>
        <v>#DIV/0!</v>
      </c>
      <c r="T22" s="188" t="e">
        <f t="shared" si="2"/>
        <v>#DIV/0!</v>
      </c>
      <c r="U22" s="188" t="e">
        <f t="shared" si="2"/>
        <v>#DIV/0!</v>
      </c>
      <c r="V22" s="188" t="e">
        <f t="shared" si="2"/>
        <v>#DIV/0!</v>
      </c>
      <c r="W22" s="188">
        <f t="shared" si="2"/>
        <v>-5.7166666666666659</v>
      </c>
      <c r="X22" s="188">
        <f t="shared" si="2"/>
        <v>-5.8</v>
      </c>
      <c r="Y22" s="188">
        <f t="shared" si="2"/>
        <v>-6</v>
      </c>
    </row>
    <row r="23" spans="1:25" ht="13.8" thickBot="1" x14ac:dyDescent="0.3">
      <c r="A23" s="5"/>
      <c r="B23" s="187"/>
      <c r="C23" s="187"/>
      <c r="D23" s="189">
        <f>STDEV(D16:D21)/SQRT(COUNT(D16:D21))</f>
        <v>0</v>
      </c>
      <c r="E23" s="189">
        <f t="shared" ref="E23:Y23" si="3">STDEV(E16:E21)/SQRT(COUNT(E16:E21))</f>
        <v>0.10219806477837255</v>
      </c>
      <c r="F23" s="189">
        <f t="shared" si="3"/>
        <v>0.16055459438389744</v>
      </c>
      <c r="G23" s="189" t="e">
        <f t="shared" si="3"/>
        <v>#DIV/0!</v>
      </c>
      <c r="H23" s="189">
        <f t="shared" si="3"/>
        <v>0.14142135623730948</v>
      </c>
      <c r="I23" s="189">
        <f t="shared" si="3"/>
        <v>0.20655911179772898</v>
      </c>
      <c r="J23" s="189">
        <f t="shared" si="3"/>
        <v>0.24415386769639957</v>
      </c>
      <c r="K23" s="189">
        <f t="shared" si="3"/>
        <v>0.19564707454438934</v>
      </c>
      <c r="L23" s="189">
        <f t="shared" si="3"/>
        <v>0.21239376429431972</v>
      </c>
      <c r="M23" s="189" t="e">
        <f t="shared" si="3"/>
        <v>#DIV/0!</v>
      </c>
      <c r="N23" s="189">
        <f t="shared" si="3"/>
        <v>0.22754730887834668</v>
      </c>
      <c r="O23" s="189">
        <f t="shared" si="3"/>
        <v>0.3676501960650459</v>
      </c>
      <c r="P23" s="189">
        <f t="shared" si="3"/>
        <v>0.50227261300789394</v>
      </c>
      <c r="Q23" s="189">
        <f t="shared" si="3"/>
        <v>0.56332347131406946</v>
      </c>
      <c r="R23" s="189">
        <f t="shared" si="3"/>
        <v>0.63648339421473588</v>
      </c>
      <c r="S23" s="189" t="e">
        <f t="shared" si="3"/>
        <v>#DIV/0!</v>
      </c>
      <c r="T23" s="189" t="e">
        <f t="shared" si="3"/>
        <v>#DIV/0!</v>
      </c>
      <c r="U23" s="189" t="e">
        <f t="shared" si="3"/>
        <v>#DIV/0!</v>
      </c>
      <c r="V23" s="189" t="e">
        <f t="shared" si="3"/>
        <v>#DIV/0!</v>
      </c>
      <c r="W23" s="189">
        <f t="shared" si="3"/>
        <v>1.1762699992395929</v>
      </c>
      <c r="X23" s="189">
        <f t="shared" si="3"/>
        <v>1.165904512956929</v>
      </c>
      <c r="Y23" s="189">
        <f t="shared" si="3"/>
        <v>1.1048378463225565</v>
      </c>
    </row>
    <row r="25" spans="1:25" ht="13.8" thickBot="1" x14ac:dyDescent="0.3"/>
    <row r="26" spans="1:25" ht="13.8" thickBot="1" x14ac:dyDescent="0.3">
      <c r="A26" s="169" t="s">
        <v>86</v>
      </c>
      <c r="B26" s="170"/>
      <c r="C26" s="170"/>
      <c r="D26" s="171" t="s">
        <v>50</v>
      </c>
      <c r="E26" s="171" t="s">
        <v>51</v>
      </c>
      <c r="F26" s="171" t="s">
        <v>52</v>
      </c>
      <c r="G26" s="171" t="s">
        <v>53</v>
      </c>
      <c r="H26" s="171" t="s">
        <v>54</v>
      </c>
      <c r="I26" s="171" t="s">
        <v>55</v>
      </c>
      <c r="J26" s="171" t="s">
        <v>56</v>
      </c>
      <c r="K26" s="171" t="s">
        <v>57</v>
      </c>
      <c r="L26" s="171" t="s">
        <v>58</v>
      </c>
      <c r="M26" s="171">
        <v>41944</v>
      </c>
      <c r="N26" s="171">
        <v>41945</v>
      </c>
      <c r="O26" s="171">
        <v>41946</v>
      </c>
      <c r="P26" s="171">
        <v>41947</v>
      </c>
      <c r="Q26" s="171">
        <v>41948</v>
      </c>
      <c r="R26" s="171">
        <v>41949</v>
      </c>
      <c r="S26" s="171">
        <v>41950</v>
      </c>
      <c r="T26" s="171">
        <v>41951</v>
      </c>
      <c r="U26" s="171">
        <v>41952</v>
      </c>
      <c r="V26" s="171">
        <v>41953</v>
      </c>
      <c r="W26" s="171">
        <v>41954</v>
      </c>
      <c r="X26" s="171">
        <v>41955</v>
      </c>
      <c r="Y26" s="171">
        <v>41956</v>
      </c>
    </row>
    <row r="27" spans="1:25" ht="13.8" thickBot="1" x14ac:dyDescent="0.3">
      <c r="A27" s="172"/>
      <c r="B27" s="170"/>
      <c r="C27" s="173" t="s">
        <v>59</v>
      </c>
      <c r="D27" s="174" t="s">
        <v>60</v>
      </c>
      <c r="E27" s="174" t="s">
        <v>61</v>
      </c>
      <c r="F27" s="174" t="s">
        <v>62</v>
      </c>
      <c r="G27" s="174" t="s">
        <v>63</v>
      </c>
      <c r="H27" s="174" t="s">
        <v>64</v>
      </c>
      <c r="I27" s="174" t="s">
        <v>65</v>
      </c>
      <c r="J27" s="174" t="s">
        <v>66</v>
      </c>
      <c r="K27" s="174" t="s">
        <v>67</v>
      </c>
      <c r="L27" s="174" t="s">
        <v>68</v>
      </c>
      <c r="M27" s="174" t="s">
        <v>69</v>
      </c>
      <c r="N27" s="174" t="s">
        <v>70</v>
      </c>
      <c r="O27" s="174" t="s">
        <v>71</v>
      </c>
      <c r="P27" s="174" t="s">
        <v>72</v>
      </c>
      <c r="Q27" s="174" t="s">
        <v>73</v>
      </c>
      <c r="R27" s="174" t="s">
        <v>74</v>
      </c>
      <c r="S27" s="174" t="s">
        <v>75</v>
      </c>
      <c r="T27" s="174" t="s">
        <v>76</v>
      </c>
      <c r="U27" s="174" t="s">
        <v>77</v>
      </c>
      <c r="V27" s="174" t="s">
        <v>78</v>
      </c>
      <c r="W27" s="174" t="s">
        <v>79</v>
      </c>
      <c r="X27" s="174" t="s">
        <v>80</v>
      </c>
      <c r="Y27" s="174" t="s">
        <v>81</v>
      </c>
    </row>
    <row r="28" spans="1:25" x14ac:dyDescent="0.25">
      <c r="A28" s="175">
        <v>7495</v>
      </c>
      <c r="B28" s="176" t="s">
        <v>82</v>
      </c>
      <c r="C28" s="177">
        <v>105</v>
      </c>
      <c r="D28" s="178">
        <f>[1]Data!D28-20.6</f>
        <v>0</v>
      </c>
      <c r="E28" s="179">
        <f>[1]Data!E28-20.6</f>
        <v>-0.10000000000000142</v>
      </c>
      <c r="F28" s="179">
        <f>[1]Data!F28-20.6</f>
        <v>0</v>
      </c>
      <c r="G28" s="179"/>
      <c r="H28" s="179">
        <f>[1]Data!H28-20.6</f>
        <v>9.9999999999997868E-2</v>
      </c>
      <c r="I28" s="179">
        <f>[1]Data!I28-20.6</f>
        <v>9.9999999999997868E-2</v>
      </c>
      <c r="J28" s="179">
        <f>[1]Data!J28-20.6</f>
        <v>0.19999999999999929</v>
      </c>
      <c r="K28" s="179">
        <f>[1]Data!K28-20.6</f>
        <v>0</v>
      </c>
      <c r="L28" s="179">
        <f>[1]Data!L28-20.6</f>
        <v>0.19999999999999929</v>
      </c>
      <c r="M28" s="179"/>
      <c r="N28" s="179">
        <f>[1]Data!N28-20.6</f>
        <v>9.9999999999997868E-2</v>
      </c>
      <c r="O28" s="179">
        <f>[1]Data!O28-20.6</f>
        <v>9.9999999999997868E-2</v>
      </c>
      <c r="P28" s="179">
        <f>[1]Data!P28-20.6</f>
        <v>9.9999999999997868E-2</v>
      </c>
      <c r="Q28" s="179">
        <f>[1]Data!Q28-20.6</f>
        <v>-0.20000000000000284</v>
      </c>
      <c r="R28" s="179">
        <f>[1]Data!R28-20.6</f>
        <v>-0.10000000000000142</v>
      </c>
      <c r="S28" s="179"/>
      <c r="T28" s="179"/>
      <c r="U28" s="179"/>
      <c r="V28" s="179"/>
      <c r="W28" s="179">
        <f>[1]Data!W28-20.6</f>
        <v>-0.30000000000000071</v>
      </c>
      <c r="X28" s="179">
        <f>[1]Data!X28-20.6</f>
        <v>-0.20000000000000284</v>
      </c>
      <c r="Y28" s="179">
        <f>[1]Data!Y28-20.6</f>
        <v>-0.40000000000000213</v>
      </c>
    </row>
    <row r="29" spans="1:25" x14ac:dyDescent="0.25">
      <c r="A29" s="139">
        <v>7497</v>
      </c>
      <c r="B29" s="23" t="s">
        <v>82</v>
      </c>
      <c r="C29" s="180">
        <v>100</v>
      </c>
      <c r="D29" s="181">
        <f>[1]Data!D29-19.6</f>
        <v>0</v>
      </c>
      <c r="E29" s="182">
        <f>[1]Data!E29-19.6</f>
        <v>0</v>
      </c>
      <c r="F29" s="182">
        <f>[1]Data!F29-19.6</f>
        <v>-0.10000000000000142</v>
      </c>
      <c r="G29" s="182"/>
      <c r="H29" s="182">
        <f>[1]Data!H29-19.6</f>
        <v>-0.10000000000000142</v>
      </c>
      <c r="I29" s="182">
        <f>[1]Data!I29-19.6</f>
        <v>-0.20000000000000284</v>
      </c>
      <c r="J29" s="182">
        <f>[1]Data!J29-19.6</f>
        <v>-0.60000000000000142</v>
      </c>
      <c r="K29" s="182">
        <f>[1]Data!K29-19.6</f>
        <v>-0.20000000000000284</v>
      </c>
      <c r="L29" s="182">
        <f>[1]Data!L29-19.6</f>
        <v>0</v>
      </c>
      <c r="M29" s="182"/>
      <c r="N29" s="182">
        <f>[1]Data!N29-19.6</f>
        <v>-0.60000000000000142</v>
      </c>
      <c r="O29" s="182">
        <f>[1]Data!O29-19.6</f>
        <v>-1.1000000000000014</v>
      </c>
      <c r="P29" s="182">
        <f>[1]Data!P29-19.6</f>
        <v>-1.4000000000000021</v>
      </c>
      <c r="Q29" s="182">
        <f>[1]Data!Q29-19.6</f>
        <v>-1.8000000000000007</v>
      </c>
      <c r="R29" s="182">
        <f>[1]Data!R29-19.6</f>
        <v>-2.2000000000000028</v>
      </c>
      <c r="S29" s="182"/>
      <c r="T29" s="182"/>
      <c r="U29" s="182"/>
      <c r="V29" s="182"/>
      <c r="W29" s="182">
        <f>[1]Data!W29-19.6</f>
        <v>-1.2000000000000028</v>
      </c>
      <c r="X29" s="182">
        <f>[1]Data!X29-19.6</f>
        <v>-0.70000000000000284</v>
      </c>
      <c r="Y29" s="182">
        <f>[1]Data!Y29-19.6</f>
        <v>-0.60000000000000142</v>
      </c>
    </row>
    <row r="30" spans="1:25" x14ac:dyDescent="0.25">
      <c r="A30" s="139">
        <v>7496</v>
      </c>
      <c r="B30" s="23" t="s">
        <v>82</v>
      </c>
      <c r="C30" s="180">
        <v>115</v>
      </c>
      <c r="D30" s="181">
        <f>[1]Data!D30-22.6</f>
        <v>0</v>
      </c>
      <c r="E30" s="182">
        <f>[1]Data!E30-22.6</f>
        <v>-0.20000000000000284</v>
      </c>
      <c r="F30" s="182">
        <f>[1]Data!F30-22.6</f>
        <v>0</v>
      </c>
      <c r="G30" s="182"/>
      <c r="H30" s="182">
        <f>[1]Data!H30-22.6</f>
        <v>-0.30000000000000071</v>
      </c>
      <c r="I30" s="182">
        <f>[1]Data!I30-22.6</f>
        <v>-0.60000000000000142</v>
      </c>
      <c r="J30" s="182">
        <f>[1]Data!J30-22.6</f>
        <v>-0.70000000000000284</v>
      </c>
      <c r="K30" s="182">
        <f>[1]Data!K30-22.6</f>
        <v>-0.80000000000000071</v>
      </c>
      <c r="L30" s="182">
        <f>[1]Data!L30-22.6</f>
        <v>-0.20000000000000284</v>
      </c>
      <c r="M30" s="182"/>
      <c r="N30" s="182">
        <f>[1]Data!N30-22.6</f>
        <v>-0.10000000000000142</v>
      </c>
      <c r="O30" s="182">
        <f>[1]Data!O30-22.6</f>
        <v>-0.10000000000000142</v>
      </c>
      <c r="P30" s="182">
        <f>[1]Data!P30-22.6</f>
        <v>9.9999999999997868E-2</v>
      </c>
      <c r="Q30" s="182">
        <f>[1]Data!Q30-22.6</f>
        <v>-0.30000000000000071</v>
      </c>
      <c r="R30" s="182">
        <f>[1]Data!R30-22.6</f>
        <v>-0.10000000000000142</v>
      </c>
      <c r="S30" s="182"/>
      <c r="T30" s="182"/>
      <c r="U30" s="182"/>
      <c r="V30" s="182"/>
      <c r="W30" s="182">
        <f>[1]Data!W30-22.6</f>
        <v>0</v>
      </c>
      <c r="X30" s="182">
        <f>[1]Data!X30-22.6</f>
        <v>0</v>
      </c>
      <c r="Y30" s="182">
        <f>[1]Data!Y30-22.6</f>
        <v>-0.20000000000000284</v>
      </c>
    </row>
    <row r="31" spans="1:25" x14ac:dyDescent="0.25">
      <c r="A31" s="139">
        <v>7468</v>
      </c>
      <c r="B31" s="23" t="s">
        <v>82</v>
      </c>
      <c r="C31" s="180">
        <v>115</v>
      </c>
      <c r="D31" s="181">
        <f>[1]Data!D31-22.7</f>
        <v>0</v>
      </c>
      <c r="E31" s="182">
        <f>[1]Data!E31-22.7</f>
        <v>0.19999999999999929</v>
      </c>
      <c r="F31" s="182">
        <f>[1]Data!F31-22.7</f>
        <v>0.10000000000000142</v>
      </c>
      <c r="G31" s="182"/>
      <c r="H31" s="182">
        <f>[1]Data!H31-22.7</f>
        <v>0</v>
      </c>
      <c r="I31" s="182">
        <f>[1]Data!I31-22.7</f>
        <v>0</v>
      </c>
      <c r="J31" s="182">
        <f>[1]Data!J31-22.7</f>
        <v>-0.19999999999999929</v>
      </c>
      <c r="K31" s="182">
        <f>[1]Data!K31-22.7</f>
        <v>-0.30000000000000071</v>
      </c>
      <c r="L31" s="182">
        <f>[1]Data!L31-22.7</f>
        <v>-0.39999999999999858</v>
      </c>
      <c r="M31" s="182"/>
      <c r="N31" s="182">
        <f>[1]Data!N31-22.7</f>
        <v>-0.39999999999999858</v>
      </c>
      <c r="O31" s="182">
        <f>[1]Data!O31-22.7</f>
        <v>-0.39999999999999858</v>
      </c>
      <c r="P31" s="182">
        <f>[1]Data!P31-22.7</f>
        <v>-0.30000000000000071</v>
      </c>
      <c r="Q31" s="182">
        <f>[1]Data!Q31-22.7</f>
        <v>-0.89999999999999858</v>
      </c>
      <c r="R31" s="182">
        <f>[1]Data!R31-22.7</f>
        <v>-0.59999999999999787</v>
      </c>
      <c r="S31" s="182"/>
      <c r="T31" s="182"/>
      <c r="U31" s="182"/>
      <c r="V31" s="182"/>
      <c r="W31" s="182">
        <f>[1]Data!W31-22.7</f>
        <v>-1.0999999999999979</v>
      </c>
      <c r="X31" s="182">
        <f>[1]Data!X31-22.7</f>
        <v>-1.3000000000000007</v>
      </c>
      <c r="Y31" s="182">
        <f>[1]Data!Y31-22.7</f>
        <v>-0.69999999999999929</v>
      </c>
    </row>
    <row r="32" spans="1:25" x14ac:dyDescent="0.25">
      <c r="A32" s="139">
        <v>7119</v>
      </c>
      <c r="B32" s="23" t="s">
        <v>82</v>
      </c>
      <c r="C32" s="180">
        <v>105</v>
      </c>
      <c r="D32" s="181">
        <f>[1]Data!D32-20.8</f>
        <v>0</v>
      </c>
      <c r="E32" s="182">
        <f>[1]Data!E32-20.8</f>
        <v>-0.30000000000000071</v>
      </c>
      <c r="F32" s="182">
        <f>[1]Data!F32-20.8</f>
        <v>0.30000000000000071</v>
      </c>
      <c r="G32" s="182"/>
      <c r="H32" s="182">
        <f>[1]Data!H32-20.8</f>
        <v>0.19999999999999929</v>
      </c>
      <c r="I32" s="182">
        <f>[1]Data!I32-20.8</f>
        <v>0</v>
      </c>
      <c r="J32" s="182">
        <f>[1]Data!J32-20.8</f>
        <v>-0.69999999999999929</v>
      </c>
      <c r="K32" s="182">
        <f>[1]Data!K32-20.8</f>
        <v>-0.5</v>
      </c>
      <c r="L32" s="182">
        <f>[1]Data!L32-20.8</f>
        <v>-0.60000000000000142</v>
      </c>
      <c r="M32" s="182"/>
      <c r="N32" s="182">
        <f>[1]Data!N32-20.8</f>
        <v>-0.69999999999999929</v>
      </c>
      <c r="O32" s="182">
        <f>[1]Data!O32-20.8</f>
        <v>-0.80000000000000071</v>
      </c>
      <c r="P32" s="182">
        <f>[1]Data!P32-20.8</f>
        <v>-0.80000000000000071</v>
      </c>
      <c r="Q32" s="182">
        <f>[1]Data!Q32-20.8</f>
        <v>-0.80000000000000071</v>
      </c>
      <c r="R32" s="182">
        <f>[1]Data!R32-20.8</f>
        <v>-0.80000000000000071</v>
      </c>
      <c r="S32" s="182"/>
      <c r="T32" s="182"/>
      <c r="U32" s="182"/>
      <c r="V32" s="182"/>
      <c r="W32" s="182">
        <f>[1]Data!W32-20.8</f>
        <v>-1.3000000000000007</v>
      </c>
      <c r="X32" s="182">
        <f>[1]Data!X32-20.8</f>
        <v>-2</v>
      </c>
      <c r="Y32" s="182">
        <f>[1]Data!Y32-20.8</f>
        <v>-2.1999999999999993</v>
      </c>
    </row>
    <row r="33" spans="1:25" ht="13.8" thickBot="1" x14ac:dyDescent="0.3">
      <c r="A33" s="183">
        <v>7279</v>
      </c>
      <c r="B33" s="28" t="s">
        <v>82</v>
      </c>
      <c r="C33" s="184">
        <v>105</v>
      </c>
      <c r="D33" s="185">
        <f>[1]Data!D33-20.7</f>
        <v>0</v>
      </c>
      <c r="E33" s="186">
        <f>[1]Data!E33-20.7</f>
        <v>0.19999999999999929</v>
      </c>
      <c r="F33" s="186">
        <f>[1]Data!F33-20.7</f>
        <v>0.10000000000000142</v>
      </c>
      <c r="G33" s="186"/>
      <c r="H33" s="186">
        <f>[1]Data!H33-20.7</f>
        <v>0</v>
      </c>
      <c r="I33" s="186">
        <f>[1]Data!I33-20.7</f>
        <v>0</v>
      </c>
      <c r="J33" s="186">
        <f>[1]Data!J33-20.7</f>
        <v>-0.39999999999999858</v>
      </c>
      <c r="K33" s="186">
        <f>[1]Data!K33-20.7</f>
        <v>-0.30000000000000071</v>
      </c>
      <c r="L33" s="186">
        <f>[1]Data!L33-20.7</f>
        <v>0</v>
      </c>
      <c r="M33" s="186"/>
      <c r="N33" s="186">
        <f>[1]Data!N33-20.7</f>
        <v>-9.9999999999997868E-2</v>
      </c>
      <c r="O33" s="186">
        <f>[1]Data!O33-20.7</f>
        <v>-0.19999999999999929</v>
      </c>
      <c r="P33" s="186">
        <f>[1]Data!P33-20.7</f>
        <v>0</v>
      </c>
      <c r="Q33" s="186">
        <f>[1]Data!Q33-20.7</f>
        <v>0.19999999999999929</v>
      </c>
      <c r="R33" s="186">
        <f>[1]Data!R33-20.7</f>
        <v>-0.5</v>
      </c>
      <c r="S33" s="186"/>
      <c r="T33" s="186"/>
      <c r="U33" s="186"/>
      <c r="V33" s="186"/>
      <c r="W33" s="186">
        <f>[1]Data!W33-20.7</f>
        <v>-0.19999999999999929</v>
      </c>
      <c r="X33" s="186">
        <f>[1]Data!X33-20.7</f>
        <v>-0.19999999999999929</v>
      </c>
      <c r="Y33" s="186">
        <f>[1]Data!Y33-20.7</f>
        <v>-0.39999999999999858</v>
      </c>
    </row>
    <row r="34" spans="1:25" ht="13.8" thickBot="1" x14ac:dyDescent="0.3">
      <c r="A34" s="169" t="s">
        <v>86</v>
      </c>
      <c r="B34" s="187"/>
      <c r="C34" s="187"/>
      <c r="D34" s="188">
        <f>AVERAGE(D28:D33)</f>
        <v>0</v>
      </c>
      <c r="E34" s="188">
        <f t="shared" ref="E34:Y34" si="4">AVERAGE(E28:E33)</f>
        <v>-3.3333333333334401E-2</v>
      </c>
      <c r="F34" s="188">
        <f t="shared" si="4"/>
        <v>6.6666666666667027E-2</v>
      </c>
      <c r="G34" s="188" t="e">
        <f t="shared" si="4"/>
        <v>#DIV/0!</v>
      </c>
      <c r="H34" s="188">
        <f t="shared" si="4"/>
        <v>-1.6666666666667496E-2</v>
      </c>
      <c r="I34" s="188">
        <f t="shared" si="4"/>
        <v>-0.11666666666666774</v>
      </c>
      <c r="J34" s="188">
        <f t="shared" si="4"/>
        <v>-0.40000000000000036</v>
      </c>
      <c r="K34" s="188">
        <f t="shared" si="4"/>
        <v>-0.35000000000000081</v>
      </c>
      <c r="L34" s="188">
        <f t="shared" si="4"/>
        <v>-0.16666666666666727</v>
      </c>
      <c r="M34" s="188" t="e">
        <f t="shared" si="4"/>
        <v>#DIV/0!</v>
      </c>
      <c r="N34" s="188">
        <f t="shared" si="4"/>
        <v>-0.3000000000000001</v>
      </c>
      <c r="O34" s="188">
        <f t="shared" si="4"/>
        <v>-0.41666666666666724</v>
      </c>
      <c r="P34" s="188">
        <f t="shared" si="4"/>
        <v>-0.38333333333333464</v>
      </c>
      <c r="Q34" s="188">
        <f t="shared" si="4"/>
        <v>-0.63333333333333408</v>
      </c>
      <c r="R34" s="188">
        <f t="shared" si="4"/>
        <v>-0.71666666666666734</v>
      </c>
      <c r="S34" s="188" t="e">
        <f t="shared" si="4"/>
        <v>#DIV/0!</v>
      </c>
      <c r="T34" s="188" t="e">
        <f t="shared" si="4"/>
        <v>#DIV/0!</v>
      </c>
      <c r="U34" s="188" t="e">
        <f t="shared" si="4"/>
        <v>#DIV/0!</v>
      </c>
      <c r="V34" s="188" t="e">
        <f t="shared" si="4"/>
        <v>#DIV/0!</v>
      </c>
      <c r="W34" s="188">
        <f t="shared" si="4"/>
        <v>-0.68333333333333357</v>
      </c>
      <c r="X34" s="188">
        <f t="shared" si="4"/>
        <v>-0.73333333333333428</v>
      </c>
      <c r="Y34" s="188">
        <f t="shared" si="4"/>
        <v>-0.75000000000000056</v>
      </c>
    </row>
    <row r="35" spans="1:25" ht="13.8" thickBot="1" x14ac:dyDescent="0.3">
      <c r="A35" s="5"/>
      <c r="B35" s="187"/>
      <c r="C35" s="187"/>
      <c r="D35" s="189">
        <f>STDEV(D28:D33)/SQRT(COUNT(D28:D33))</f>
        <v>0</v>
      </c>
      <c r="E35" s="189">
        <f t="shared" ref="E35:Y35" si="5">STDEV(E28:E33)/SQRT(COUNT(E28:E33))</f>
        <v>8.4327404271156953E-2</v>
      </c>
      <c r="F35" s="189">
        <f t="shared" si="5"/>
        <v>5.5777335102272008E-2</v>
      </c>
      <c r="G35" s="189" t="e">
        <f t="shared" si="5"/>
        <v>#DIV/0!</v>
      </c>
      <c r="H35" s="189">
        <f t="shared" si="5"/>
        <v>7.0316743699096601E-2</v>
      </c>
      <c r="I35" s="189">
        <f t="shared" si="5"/>
        <v>0.10461569884316825</v>
      </c>
      <c r="J35" s="189">
        <f t="shared" si="5"/>
        <v>0.14375905768565234</v>
      </c>
      <c r="K35" s="189">
        <f t="shared" si="5"/>
        <v>0.11180339887498947</v>
      </c>
      <c r="L35" s="189">
        <f t="shared" si="5"/>
        <v>0.12018504251546636</v>
      </c>
      <c r="M35" s="189" t="e">
        <f t="shared" si="5"/>
        <v>#DIV/0!</v>
      </c>
      <c r="N35" s="189">
        <f t="shared" si="5"/>
        <v>0.12909944487358038</v>
      </c>
      <c r="O35" s="189">
        <f t="shared" si="5"/>
        <v>0.18514258769331751</v>
      </c>
      <c r="P35" s="189">
        <f t="shared" si="5"/>
        <v>0.24686928615047374</v>
      </c>
      <c r="Q35" s="189">
        <f t="shared" si="5"/>
        <v>0.28596814119369612</v>
      </c>
      <c r="R35" s="189">
        <f t="shared" si="5"/>
        <v>0.31771755451099126</v>
      </c>
      <c r="S35" s="189" t="e">
        <f t="shared" si="5"/>
        <v>#DIV/0!</v>
      </c>
      <c r="T35" s="189" t="e">
        <f t="shared" si="5"/>
        <v>#DIV/0!</v>
      </c>
      <c r="U35" s="189" t="e">
        <f t="shared" si="5"/>
        <v>#DIV/0!</v>
      </c>
      <c r="V35" s="189" t="e">
        <f t="shared" si="5"/>
        <v>#DIV/0!</v>
      </c>
      <c r="W35" s="189">
        <f t="shared" si="5"/>
        <v>0.23582008207765345</v>
      </c>
      <c r="X35" s="189">
        <f t="shared" si="5"/>
        <v>0.31797973380564853</v>
      </c>
      <c r="Y35" s="189">
        <f t="shared" si="5"/>
        <v>0.29860788111948167</v>
      </c>
    </row>
    <row r="37" spans="1:25" ht="13.8" thickBot="1" x14ac:dyDescent="0.3"/>
    <row r="38" spans="1:25" ht="13.8" thickBot="1" x14ac:dyDescent="0.3">
      <c r="A38" s="169" t="s">
        <v>87</v>
      </c>
      <c r="B38" s="170"/>
      <c r="C38" s="170"/>
      <c r="D38" s="171" t="s">
        <v>50</v>
      </c>
      <c r="E38" s="171" t="s">
        <v>51</v>
      </c>
      <c r="F38" s="171" t="s">
        <v>52</v>
      </c>
      <c r="G38" s="171" t="s">
        <v>53</v>
      </c>
      <c r="H38" s="171" t="s">
        <v>54</v>
      </c>
      <c r="I38" s="171" t="s">
        <v>55</v>
      </c>
      <c r="J38" s="171" t="s">
        <v>56</v>
      </c>
      <c r="K38" s="171" t="s">
        <v>57</v>
      </c>
      <c r="L38" s="171" t="s">
        <v>58</v>
      </c>
      <c r="M38" s="171">
        <v>41944</v>
      </c>
      <c r="N38" s="171">
        <v>41945</v>
      </c>
      <c r="O38" s="171">
        <v>41946</v>
      </c>
      <c r="P38" s="171">
        <v>41947</v>
      </c>
      <c r="Q38" s="171">
        <v>41948</v>
      </c>
      <c r="R38" s="171">
        <v>41949</v>
      </c>
      <c r="S38" s="171">
        <v>41950</v>
      </c>
      <c r="T38" s="171">
        <v>41951</v>
      </c>
      <c r="U38" s="171">
        <v>41952</v>
      </c>
      <c r="V38" s="171">
        <v>41953</v>
      </c>
      <c r="W38" s="171">
        <v>41954</v>
      </c>
      <c r="X38" s="171">
        <v>41955</v>
      </c>
      <c r="Y38" s="171">
        <v>41956</v>
      </c>
    </row>
    <row r="39" spans="1:25" ht="13.8" thickBot="1" x14ac:dyDescent="0.3">
      <c r="A39" s="172"/>
      <c r="B39" s="170"/>
      <c r="C39" s="173" t="s">
        <v>59</v>
      </c>
      <c r="D39" s="174" t="s">
        <v>60</v>
      </c>
      <c r="E39" s="174" t="s">
        <v>61</v>
      </c>
      <c r="F39" s="174" t="s">
        <v>62</v>
      </c>
      <c r="G39" s="174" t="s">
        <v>63</v>
      </c>
      <c r="H39" s="174" t="s">
        <v>64</v>
      </c>
      <c r="I39" s="174" t="s">
        <v>65</v>
      </c>
      <c r="J39" s="174" t="s">
        <v>66</v>
      </c>
      <c r="K39" s="174" t="s">
        <v>67</v>
      </c>
      <c r="L39" s="174" t="s">
        <v>68</v>
      </c>
      <c r="M39" s="174" t="s">
        <v>69</v>
      </c>
      <c r="N39" s="174" t="s">
        <v>70</v>
      </c>
      <c r="O39" s="174" t="s">
        <v>71</v>
      </c>
      <c r="P39" s="174" t="s">
        <v>72</v>
      </c>
      <c r="Q39" s="174" t="s">
        <v>73</v>
      </c>
      <c r="R39" s="174" t="s">
        <v>74</v>
      </c>
      <c r="S39" s="174" t="s">
        <v>75</v>
      </c>
      <c r="T39" s="174" t="s">
        <v>76</v>
      </c>
      <c r="U39" s="174" t="s">
        <v>77</v>
      </c>
      <c r="V39" s="174" t="s">
        <v>78</v>
      </c>
      <c r="W39" s="174" t="s">
        <v>79</v>
      </c>
      <c r="X39" s="174" t="s">
        <v>80</v>
      </c>
      <c r="Y39" s="174" t="s">
        <v>81</v>
      </c>
    </row>
    <row r="40" spans="1:25" x14ac:dyDescent="0.25">
      <c r="A40" s="175">
        <v>7511</v>
      </c>
      <c r="B40" s="176" t="s">
        <v>82</v>
      </c>
      <c r="C40" s="191">
        <v>85</v>
      </c>
      <c r="D40" s="178">
        <f>[1]Data!D40-18.9</f>
        <v>0</v>
      </c>
      <c r="E40" s="179">
        <f>[1]Data!E40-18.9</f>
        <v>-0.29999999999999716</v>
      </c>
      <c r="F40" s="179">
        <f>[1]Data!F40-18.9</f>
        <v>-0.39999999999999858</v>
      </c>
      <c r="G40" s="179"/>
      <c r="H40" s="179">
        <f>[1]Data!H40-18.9</f>
        <v>-0.5</v>
      </c>
      <c r="I40" s="179">
        <f>[1]Data!I40-18.9</f>
        <v>-0.59999999999999787</v>
      </c>
      <c r="J40" s="179">
        <f>[1]Data!J40-18.9</f>
        <v>-0.29999999999999716</v>
      </c>
      <c r="K40" s="179">
        <f>[1]Data!K40-18.9</f>
        <v>-0.5</v>
      </c>
      <c r="L40" s="179">
        <f>[1]Data!L40-18.9</f>
        <v>-0.5</v>
      </c>
      <c r="M40" s="179"/>
      <c r="N40" s="179">
        <f>[1]Data!N40-18.9</f>
        <v>-1.5999999999999979</v>
      </c>
      <c r="O40" s="179">
        <f>[1]Data!O40-18.9</f>
        <v>-2.0999999999999979</v>
      </c>
      <c r="P40" s="179">
        <f>[1]Data!P40-18.9</f>
        <v>-2.9999999999999982</v>
      </c>
      <c r="Q40" s="179">
        <f>[1]Data!Q40-18.9</f>
        <v>-4.2999999999999989</v>
      </c>
      <c r="R40" s="179">
        <f>[1]Data!R40-18.9</f>
        <v>-5.4999999999999982</v>
      </c>
      <c r="S40" s="179"/>
      <c r="T40" s="179"/>
      <c r="U40" s="179"/>
      <c r="V40" s="179"/>
      <c r="W40" s="179">
        <f>[1]Data!W40-18.9</f>
        <v>-7.4999999999999982</v>
      </c>
      <c r="X40" s="179">
        <f>[1]Data!X40-18.9</f>
        <v>-7.4999999999999982</v>
      </c>
      <c r="Y40" s="179">
        <f>[1]Data!Y40-18.9</f>
        <v>-7.4999999999999982</v>
      </c>
    </row>
    <row r="41" spans="1:25" x14ac:dyDescent="0.25">
      <c r="A41" s="139">
        <v>7546</v>
      </c>
      <c r="B41" s="23" t="s">
        <v>83</v>
      </c>
      <c r="C41" s="192">
        <v>90</v>
      </c>
      <c r="D41" s="181">
        <f>[1]Data!D41-18.7</f>
        <v>0</v>
      </c>
      <c r="E41" s="182">
        <f>[1]Data!E41-18.7</f>
        <v>-0.5</v>
      </c>
      <c r="F41" s="182">
        <f>[1]Data!F41-18.7</f>
        <v>-0.30000000000000071</v>
      </c>
      <c r="G41" s="182"/>
      <c r="H41" s="182">
        <f>[1]Data!H41-18.7</f>
        <v>-0.30000000000000071</v>
      </c>
      <c r="I41" s="182">
        <f>[1]Data!I41-18.7</f>
        <v>-0.19999999999999929</v>
      </c>
      <c r="J41" s="182">
        <f>[1]Data!J41-18.7</f>
        <v>-0.59999999999999787</v>
      </c>
      <c r="K41" s="182">
        <f>[1]Data!K41-18.7</f>
        <v>-0.59999999999999787</v>
      </c>
      <c r="L41" s="182">
        <f>[1]Data!L41-18.7</f>
        <v>-0.69999999999999929</v>
      </c>
      <c r="M41" s="182"/>
      <c r="N41" s="182">
        <f>[1]Data!N41-18.7</f>
        <v>-0.89999999999999858</v>
      </c>
      <c r="O41" s="182">
        <f>[1]Data!O41-18.7</f>
        <v>-1</v>
      </c>
      <c r="P41" s="182">
        <f>[1]Data!P41-18.7</f>
        <v>-0.69999999999999929</v>
      </c>
      <c r="Q41" s="182">
        <f>[1]Data!Q41-18.7</f>
        <v>-0.69999999999999929</v>
      </c>
      <c r="R41" s="182">
        <f>[1]Data!R41-18.7</f>
        <v>-0.59999999999999787</v>
      </c>
      <c r="S41" s="182"/>
      <c r="T41" s="182"/>
      <c r="U41" s="182"/>
      <c r="V41" s="182"/>
      <c r="W41" s="182">
        <f>[1]Data!W41-18.7</f>
        <v>-1.0999999999999979</v>
      </c>
      <c r="X41" s="182">
        <f>[1]Data!X41-18.7</f>
        <v>-1</v>
      </c>
      <c r="Y41" s="182">
        <f>[1]Data!Y41-18.7</f>
        <v>-0.89999999999999858</v>
      </c>
    </row>
    <row r="42" spans="1:25" x14ac:dyDescent="0.25">
      <c r="A42" s="139">
        <v>7487</v>
      </c>
      <c r="B42" s="23" t="s">
        <v>82</v>
      </c>
      <c r="C42" s="192">
        <v>95</v>
      </c>
      <c r="D42" s="181">
        <f>[1]Data!D42-19.2</f>
        <v>0</v>
      </c>
      <c r="E42" s="182">
        <f>[1]Data!E42-19.2</f>
        <v>-9.9999999999997868E-2</v>
      </c>
      <c r="F42" s="182">
        <f>[1]Data!F42-19.2</f>
        <v>-0.39999999999999858</v>
      </c>
      <c r="G42" s="182"/>
      <c r="H42" s="182">
        <f>[1]Data!H42-19.2</f>
        <v>-0.59999999999999787</v>
      </c>
      <c r="I42" s="182">
        <f>[1]Data!I42-19.2</f>
        <v>-0.59999999999999787</v>
      </c>
      <c r="J42" s="182">
        <f>[1]Data!J42-19.2</f>
        <v>-0.69999999999999929</v>
      </c>
      <c r="K42" s="182">
        <f>[1]Data!K42-19.2</f>
        <v>-1</v>
      </c>
      <c r="L42" s="182">
        <f>[1]Data!L42-19.2</f>
        <v>-0.89999999999999858</v>
      </c>
      <c r="M42" s="182"/>
      <c r="N42" s="182">
        <f>[1]Data!N42-19.2</f>
        <v>-1.0999999999999979</v>
      </c>
      <c r="O42" s="182">
        <f>[1]Data!O42-19.2</f>
        <v>-1.0999999999999979</v>
      </c>
      <c r="P42" s="182">
        <f>[1]Data!P42-19.2</f>
        <v>-1.0999999999999979</v>
      </c>
      <c r="Q42" s="182">
        <f>[1]Data!Q42-19.2</f>
        <v>-0.89999999999999858</v>
      </c>
      <c r="R42" s="182">
        <f>[1]Data!R42-19.2</f>
        <v>-0.5</v>
      </c>
      <c r="S42" s="182"/>
      <c r="T42" s="182"/>
      <c r="U42" s="182"/>
      <c r="V42" s="182"/>
      <c r="W42" s="182">
        <f>[1]Data!W42-19.2</f>
        <v>-1.5</v>
      </c>
      <c r="X42" s="182">
        <f>[1]Data!X42-19.2</f>
        <v>-1.1999999999999993</v>
      </c>
      <c r="Y42" s="182">
        <f>[1]Data!Y42-19.2</f>
        <v>-2</v>
      </c>
    </row>
    <row r="43" spans="1:25" x14ac:dyDescent="0.25">
      <c r="A43" s="139">
        <v>7477</v>
      </c>
      <c r="B43" s="23" t="s">
        <v>82</v>
      </c>
      <c r="C43" s="192">
        <v>105</v>
      </c>
      <c r="D43" s="181">
        <f>[1]Data!D43-21</f>
        <v>0</v>
      </c>
      <c r="E43" s="182">
        <f>[1]Data!E43-21</f>
        <v>-0.10000000000000142</v>
      </c>
      <c r="F43" s="182">
        <f>[1]Data!F43-21</f>
        <v>-0.60000000000000142</v>
      </c>
      <c r="G43" s="182"/>
      <c r="H43" s="182">
        <f>[1]Data!H43-21</f>
        <v>-0.5</v>
      </c>
      <c r="I43" s="182">
        <f>[1]Data!I43-21</f>
        <v>-0.39999999999999858</v>
      </c>
      <c r="J43" s="182">
        <f>[1]Data!J43-21</f>
        <v>-0.69999999999999929</v>
      </c>
      <c r="K43" s="182">
        <f>[1]Data!K43-21</f>
        <v>-0.89999999999999858</v>
      </c>
      <c r="L43" s="182">
        <f>[1]Data!L43-21</f>
        <v>-0.60000000000000142</v>
      </c>
      <c r="M43" s="182"/>
      <c r="N43" s="182">
        <f>[1]Data!N43-21</f>
        <v>-1</v>
      </c>
      <c r="O43" s="182">
        <f>[1]Data!O43-21</f>
        <v>-1.3000000000000007</v>
      </c>
      <c r="P43" s="182">
        <f>[1]Data!P43-21</f>
        <v>-1</v>
      </c>
      <c r="Q43" s="182">
        <f>[1]Data!Q43-21</f>
        <v>-1</v>
      </c>
      <c r="R43" s="182">
        <f>[1]Data!R43-21</f>
        <v>-0.80000000000000071</v>
      </c>
      <c r="S43" s="182"/>
      <c r="T43" s="182"/>
      <c r="U43" s="182"/>
      <c r="V43" s="182"/>
      <c r="W43" s="182">
        <f>[1]Data!W43-21</f>
        <v>-0.5</v>
      </c>
      <c r="X43" s="182">
        <f>[1]Data!X43-21</f>
        <v>-0.69999999999999929</v>
      </c>
      <c r="Y43" s="182">
        <f>[1]Data!Y43-21</f>
        <v>-1</v>
      </c>
    </row>
    <row r="44" spans="1:25" x14ac:dyDescent="0.25">
      <c r="A44" s="139">
        <v>7479</v>
      </c>
      <c r="B44" s="23" t="s">
        <v>82</v>
      </c>
      <c r="C44" s="192">
        <v>105</v>
      </c>
      <c r="D44" s="181">
        <f>[1]Data!D44-20.8</f>
        <v>0</v>
      </c>
      <c r="E44" s="182">
        <f>[1]Data!E44-20.8</f>
        <v>-0.19999999999999929</v>
      </c>
      <c r="F44" s="182">
        <f>[1]Data!F44-20.8</f>
        <v>-0.60000000000000142</v>
      </c>
      <c r="G44" s="182"/>
      <c r="H44" s="182">
        <f>[1]Data!H44-20.8</f>
        <v>-0.80000000000000071</v>
      </c>
      <c r="I44" s="182">
        <f>[1]Data!I44-20.8</f>
        <v>-0.80000000000000071</v>
      </c>
      <c r="J44" s="182">
        <f>[1]Data!J44-20.8</f>
        <v>-0.69999999999999929</v>
      </c>
      <c r="K44" s="182">
        <f>[1]Data!K44-20.8</f>
        <v>-0.80000000000000071</v>
      </c>
      <c r="L44" s="182">
        <f>[1]Data!L44-20.8</f>
        <v>-0.80000000000000071</v>
      </c>
      <c r="M44" s="182"/>
      <c r="N44" s="182">
        <f>[1]Data!N44-20.8</f>
        <v>-1.4000000000000021</v>
      </c>
      <c r="O44" s="182">
        <f>[1]Data!O44-20.8</f>
        <v>-1.6000000000000014</v>
      </c>
      <c r="P44" s="182">
        <f>[1]Data!P44-20.8</f>
        <v>-1.8000000000000007</v>
      </c>
      <c r="Q44" s="182">
        <f>[1]Data!Q44-20.8</f>
        <v>-2.6000000000000014</v>
      </c>
      <c r="R44" s="182">
        <f>[1]Data!R44-20.8</f>
        <v>-2.4000000000000021</v>
      </c>
      <c r="S44" s="182"/>
      <c r="T44" s="182"/>
      <c r="U44" s="182"/>
      <c r="V44" s="182"/>
      <c r="W44" s="182">
        <f>[1]Data!W44-20.8</f>
        <v>-3</v>
      </c>
      <c r="X44" s="182">
        <f>[1]Data!X44-20.8</f>
        <v>-3.1000000000000014</v>
      </c>
      <c r="Y44" s="182">
        <f>[1]Data!Y44-20.8</f>
        <v>-3.1000000000000014</v>
      </c>
    </row>
    <row r="45" spans="1:25" x14ac:dyDescent="0.25">
      <c r="A45" s="139">
        <v>7514</v>
      </c>
      <c r="B45" s="23" t="s">
        <v>82</v>
      </c>
      <c r="C45" s="192">
        <v>95</v>
      </c>
      <c r="D45" s="181">
        <f>[1]Data!D45-18.8</f>
        <v>0</v>
      </c>
      <c r="E45" s="182">
        <f>[1]Data!E45-18.8</f>
        <v>0</v>
      </c>
      <c r="F45" s="182">
        <f>[1]Data!F45-18.8</f>
        <v>-0.5</v>
      </c>
      <c r="G45" s="182"/>
      <c r="H45" s="182">
        <f>[1]Data!H45-18.8</f>
        <v>-0.69999999999999929</v>
      </c>
      <c r="I45" s="182">
        <f>[1]Data!I45-18.8</f>
        <v>-0.80000000000000071</v>
      </c>
      <c r="J45" s="182">
        <f>[1]Data!J45-18.8</f>
        <v>-1</v>
      </c>
      <c r="K45" s="182">
        <f>[1]Data!K45-18.8</f>
        <v>-0.90000000000000213</v>
      </c>
      <c r="L45" s="182">
        <f>[1]Data!L45-18.8</f>
        <v>-0.90000000000000213</v>
      </c>
      <c r="M45" s="182"/>
      <c r="N45" s="182">
        <f>[1]Data!N45-18.8</f>
        <v>-1.6000000000000014</v>
      </c>
      <c r="O45" s="182">
        <f>[1]Data!O45-18.8</f>
        <v>-2.4000000000000021</v>
      </c>
      <c r="P45" s="182">
        <f>[1]Data!P45-18.8</f>
        <v>-3.7000000000000011</v>
      </c>
      <c r="Q45" s="182">
        <f>[1]Data!Q45-18.8</f>
        <v>-4.4000000000000004</v>
      </c>
      <c r="R45" s="182">
        <f>[1]Data!R45-18.8</f>
        <v>-5.5</v>
      </c>
      <c r="S45" s="182"/>
      <c r="T45" s="182"/>
      <c r="U45" s="182"/>
      <c r="V45" s="182"/>
      <c r="W45" s="182">
        <f>[1]Data!W45-18.8</f>
        <v>-7.7000000000000011</v>
      </c>
      <c r="X45" s="182">
        <f>[1]Data!X45-18.8</f>
        <v>-7.7000000000000011</v>
      </c>
      <c r="Y45" s="182">
        <f>[1]Data!Y45-18.8</f>
        <v>-7.7000000000000011</v>
      </c>
    </row>
    <row r="46" spans="1:25" ht="13.8" thickBot="1" x14ac:dyDescent="0.3">
      <c r="A46" s="183">
        <v>7543</v>
      </c>
      <c r="B46" s="28" t="s">
        <v>83</v>
      </c>
      <c r="C46" s="193">
        <v>95</v>
      </c>
      <c r="D46" s="185">
        <f>[1]Data!D46-21.5</f>
        <v>0</v>
      </c>
      <c r="E46" s="186">
        <f>[1]Data!E46-21.5</f>
        <v>0</v>
      </c>
      <c r="F46" s="186">
        <f>[1]Data!F46-21.5</f>
        <v>-0.10000000000000142</v>
      </c>
      <c r="G46" s="186"/>
      <c r="H46" s="186">
        <f>[1]Data!H46-21.5</f>
        <v>-0.5</v>
      </c>
      <c r="I46" s="186">
        <f>[1]Data!I46-21.5</f>
        <v>-0.89999999999999858</v>
      </c>
      <c r="J46" s="186">
        <f>[1]Data!J46-21.5</f>
        <v>-0.89999999999999858</v>
      </c>
      <c r="K46" s="186">
        <f>[1]Data!K46-21.5</f>
        <v>-1.1000000000000014</v>
      </c>
      <c r="L46" s="186">
        <f>[1]Data!L46-21.5</f>
        <v>-1.5</v>
      </c>
      <c r="M46" s="186"/>
      <c r="N46" s="186">
        <f>[1]Data!N46-21.5</f>
        <v>-1.8999999999999986</v>
      </c>
      <c r="O46" s="186">
        <f>[1]Data!O46-21.5</f>
        <v>-2.5</v>
      </c>
      <c r="P46" s="186">
        <f>[1]Data!P46-21.5</f>
        <v>-3.6999999999999993</v>
      </c>
      <c r="Q46" s="186">
        <f>[1]Data!Q46-21.5</f>
        <v>-4.6000000000000014</v>
      </c>
      <c r="R46" s="186">
        <f>[1]Data!R46-21.5</f>
        <v>-6.5</v>
      </c>
      <c r="S46" s="186"/>
      <c r="T46" s="186"/>
      <c r="U46" s="186"/>
      <c r="V46" s="186"/>
      <c r="W46" s="186">
        <f>[1]Data!W46-21.5</f>
        <v>-6.5</v>
      </c>
      <c r="X46" s="186">
        <f>[1]Data!X46-21.5</f>
        <v>-6.5</v>
      </c>
      <c r="Y46" s="186">
        <f>[1]Data!Y46-21.5</f>
        <v>-6.5</v>
      </c>
    </row>
    <row r="47" spans="1:25" ht="13.8" thickBot="1" x14ac:dyDescent="0.3">
      <c r="A47" s="169" t="s">
        <v>87</v>
      </c>
      <c r="B47" s="187"/>
      <c r="C47" s="187"/>
      <c r="D47" s="188">
        <f>AVERAGE(D40:D46)</f>
        <v>0</v>
      </c>
      <c r="E47" s="188">
        <f t="shared" ref="E47:Y47" si="6">AVERAGE(E40:E46)</f>
        <v>-0.17142857142857082</v>
      </c>
      <c r="F47" s="188">
        <f t="shared" si="6"/>
        <v>-0.41428571428571459</v>
      </c>
      <c r="G47" s="188" t="e">
        <f t="shared" si="6"/>
        <v>#DIV/0!</v>
      </c>
      <c r="H47" s="188">
        <f t="shared" si="6"/>
        <v>-0.55714285714285694</v>
      </c>
      <c r="I47" s="188">
        <f t="shared" si="6"/>
        <v>-0.61428571428571332</v>
      </c>
      <c r="J47" s="188">
        <f t="shared" si="6"/>
        <v>-0.69999999999999873</v>
      </c>
      <c r="K47" s="188">
        <f t="shared" si="6"/>
        <v>-0.82857142857142863</v>
      </c>
      <c r="L47" s="188">
        <f t="shared" si="6"/>
        <v>-0.84285714285714319</v>
      </c>
      <c r="M47" s="188" t="e">
        <f t="shared" si="6"/>
        <v>#DIV/0!</v>
      </c>
      <c r="N47" s="188">
        <f t="shared" si="6"/>
        <v>-1.3571428571428565</v>
      </c>
      <c r="O47" s="188">
        <f t="shared" si="6"/>
        <v>-1.7142857142857142</v>
      </c>
      <c r="P47" s="188">
        <f t="shared" si="6"/>
        <v>-2.1428571428571423</v>
      </c>
      <c r="Q47" s="188">
        <f t="shared" si="6"/>
        <v>-2.6428571428571428</v>
      </c>
      <c r="R47" s="188">
        <f t="shared" si="6"/>
        <v>-3.1142857142857139</v>
      </c>
      <c r="S47" s="188" t="e">
        <f t="shared" si="6"/>
        <v>#DIV/0!</v>
      </c>
      <c r="T47" s="188" t="e">
        <f t="shared" si="6"/>
        <v>#DIV/0!</v>
      </c>
      <c r="U47" s="188" t="e">
        <f t="shared" si="6"/>
        <v>#DIV/0!</v>
      </c>
      <c r="V47" s="188" t="e">
        <f t="shared" si="6"/>
        <v>#DIV/0!</v>
      </c>
      <c r="W47" s="188">
        <f t="shared" si="6"/>
        <v>-3.9714285714285711</v>
      </c>
      <c r="X47" s="188">
        <f t="shared" si="6"/>
        <v>-3.9571428571428569</v>
      </c>
      <c r="Y47" s="188">
        <f t="shared" si="6"/>
        <v>-4.0999999999999996</v>
      </c>
    </row>
    <row r="48" spans="1:25" ht="13.8" thickBot="1" x14ac:dyDescent="0.3">
      <c r="A48" s="5"/>
      <c r="B48" s="187"/>
      <c r="C48" s="187"/>
      <c r="D48" s="189">
        <f>STDEV(D40:D46)/SQRT(COUNT(D40:D46))</f>
        <v>0</v>
      </c>
      <c r="E48" s="189">
        <f t="shared" ref="E48:Y48" si="7">STDEV(E40:E46)/SQRT(COUNT(E40:E46))</f>
        <v>6.8013604081360354E-2</v>
      </c>
      <c r="F48" s="189">
        <f t="shared" si="7"/>
        <v>6.7005939426048947E-2</v>
      </c>
      <c r="G48" s="189" t="e">
        <f t="shared" si="7"/>
        <v>#DIV/0!</v>
      </c>
      <c r="H48" s="189">
        <f t="shared" si="7"/>
        <v>6.1167774184119554E-2</v>
      </c>
      <c r="I48" s="189">
        <f t="shared" si="7"/>
        <v>9.3677693204314433E-2</v>
      </c>
      <c r="J48" s="189">
        <f t="shared" si="7"/>
        <v>8.4515425472851943E-2</v>
      </c>
      <c r="K48" s="189">
        <f t="shared" si="7"/>
        <v>8.0812203564176954E-2</v>
      </c>
      <c r="L48" s="189">
        <f t="shared" si="7"/>
        <v>0.12316683006073868</v>
      </c>
      <c r="M48" s="189" t="e">
        <f t="shared" si="7"/>
        <v>#DIV/0!</v>
      </c>
      <c r="N48" s="189">
        <f t="shared" si="7"/>
        <v>0.13948398586549338</v>
      </c>
      <c r="O48" s="189">
        <f t="shared" si="7"/>
        <v>0.23444825952554615</v>
      </c>
      <c r="P48" s="189">
        <f t="shared" si="7"/>
        <v>0.49225290773145086</v>
      </c>
      <c r="Q48" s="189">
        <f t="shared" si="7"/>
        <v>0.67572082952635282</v>
      </c>
      <c r="R48" s="189">
        <f t="shared" si="7"/>
        <v>0.99843414820373588</v>
      </c>
      <c r="S48" s="189" t="e">
        <f t="shared" si="7"/>
        <v>#DIV/0!</v>
      </c>
      <c r="T48" s="189" t="e">
        <f t="shared" si="7"/>
        <v>#DIV/0!</v>
      </c>
      <c r="U48" s="189" t="e">
        <f t="shared" si="7"/>
        <v>#DIV/0!</v>
      </c>
      <c r="V48" s="189" t="e">
        <f t="shared" si="7"/>
        <v>#DIV/0!</v>
      </c>
      <c r="W48" s="189">
        <f t="shared" si="7"/>
        <v>1.196167348881674</v>
      </c>
      <c r="X48" s="189">
        <f t="shared" si="7"/>
        <v>1.2023503060686602</v>
      </c>
      <c r="Y48" s="189">
        <f t="shared" si="7"/>
        <v>1.1499482390007614</v>
      </c>
    </row>
    <row r="49" spans="1:25" ht="13.8" thickBot="1" x14ac:dyDescent="0.3"/>
    <row r="50" spans="1:25" ht="13.8" thickBot="1" x14ac:dyDescent="0.3">
      <c r="A50" s="169" t="s">
        <v>88</v>
      </c>
      <c r="B50" s="170"/>
      <c r="C50" s="170"/>
      <c r="D50" s="171" t="s">
        <v>50</v>
      </c>
      <c r="E50" s="171" t="s">
        <v>51</v>
      </c>
      <c r="F50" s="171" t="s">
        <v>52</v>
      </c>
      <c r="G50" s="171" t="s">
        <v>53</v>
      </c>
      <c r="H50" s="171" t="s">
        <v>54</v>
      </c>
      <c r="I50" s="171" t="s">
        <v>55</v>
      </c>
      <c r="J50" s="171" t="s">
        <v>56</v>
      </c>
      <c r="K50" s="171" t="s">
        <v>57</v>
      </c>
      <c r="L50" s="171" t="s">
        <v>58</v>
      </c>
      <c r="M50" s="171">
        <v>41944</v>
      </c>
      <c r="N50" s="171">
        <v>41945</v>
      </c>
      <c r="O50" s="171">
        <v>41946</v>
      </c>
      <c r="P50" s="171">
        <v>41947</v>
      </c>
      <c r="Q50" s="171">
        <v>41948</v>
      </c>
      <c r="R50" s="171">
        <v>41949</v>
      </c>
      <c r="S50" s="171">
        <v>41950</v>
      </c>
      <c r="T50" s="171">
        <v>41951</v>
      </c>
      <c r="U50" s="171">
        <v>41952</v>
      </c>
      <c r="V50" s="171">
        <v>41953</v>
      </c>
      <c r="W50" s="171">
        <v>41954</v>
      </c>
      <c r="X50" s="171">
        <v>41955</v>
      </c>
      <c r="Y50" s="171">
        <v>41956</v>
      </c>
    </row>
    <row r="51" spans="1:25" ht="13.8" thickBot="1" x14ac:dyDescent="0.3">
      <c r="A51" s="172"/>
      <c r="B51" s="170"/>
      <c r="C51" s="173" t="s">
        <v>59</v>
      </c>
      <c r="D51" s="174" t="s">
        <v>60</v>
      </c>
      <c r="E51" s="174" t="s">
        <v>61</v>
      </c>
      <c r="F51" s="174" t="s">
        <v>62</v>
      </c>
      <c r="G51" s="174" t="s">
        <v>63</v>
      </c>
      <c r="H51" s="174" t="s">
        <v>64</v>
      </c>
      <c r="I51" s="174" t="s">
        <v>65</v>
      </c>
      <c r="J51" s="174" t="s">
        <v>66</v>
      </c>
      <c r="K51" s="174" t="s">
        <v>67</v>
      </c>
      <c r="L51" s="174" t="s">
        <v>68</v>
      </c>
      <c r="M51" s="174" t="s">
        <v>69</v>
      </c>
      <c r="N51" s="174" t="s">
        <v>70</v>
      </c>
      <c r="O51" s="174" t="s">
        <v>71</v>
      </c>
      <c r="P51" s="174" t="s">
        <v>72</v>
      </c>
      <c r="Q51" s="174" t="s">
        <v>73</v>
      </c>
      <c r="R51" s="174" t="s">
        <v>74</v>
      </c>
      <c r="S51" s="174" t="s">
        <v>75</v>
      </c>
      <c r="T51" s="174" t="s">
        <v>76</v>
      </c>
      <c r="U51" s="174" t="s">
        <v>77</v>
      </c>
      <c r="V51" s="174" t="s">
        <v>78</v>
      </c>
      <c r="W51" s="174" t="s">
        <v>79</v>
      </c>
      <c r="X51" s="174" t="s">
        <v>80</v>
      </c>
      <c r="Y51" s="174" t="s">
        <v>81</v>
      </c>
    </row>
    <row r="52" spans="1:25" x14ac:dyDescent="0.25">
      <c r="A52" s="175">
        <v>7597</v>
      </c>
      <c r="B52" s="176" t="s">
        <v>83</v>
      </c>
      <c r="C52" s="191">
        <v>100</v>
      </c>
      <c r="D52" s="178">
        <f>[1]Data!D52-19.5</f>
        <v>0</v>
      </c>
      <c r="E52" s="178">
        <f>[1]Data!E52-19.5</f>
        <v>0.30000000000000071</v>
      </c>
      <c r="F52" s="178">
        <f>[1]Data!F52-19.5</f>
        <v>0.5</v>
      </c>
      <c r="G52" s="178"/>
      <c r="H52" s="178">
        <f>[1]Data!H52-19.5</f>
        <v>0.5</v>
      </c>
      <c r="I52" s="178">
        <f>[1]Data!I52-19.5</f>
        <v>0.30000000000000071</v>
      </c>
      <c r="J52" s="178">
        <f>[1]Data!J52-19.5</f>
        <v>0.39999999999999858</v>
      </c>
      <c r="K52" s="178">
        <f>[1]Data!K52-19.5</f>
        <v>0.19999999999999929</v>
      </c>
      <c r="L52" s="178">
        <f>[1]Data!L52-19.5</f>
        <v>-0.10000000000000142</v>
      </c>
      <c r="M52" s="178"/>
      <c r="N52" s="178">
        <f>[1]Data!N52-19.5</f>
        <v>0</v>
      </c>
      <c r="O52" s="178">
        <f>[1]Data!O52-19.5</f>
        <v>-0.19999999999999929</v>
      </c>
      <c r="P52" s="178">
        <f>[1]Data!P52-19.5</f>
        <v>0.5</v>
      </c>
      <c r="Q52" s="178">
        <f>[1]Data!Q52-19.5</f>
        <v>0.5</v>
      </c>
      <c r="R52" s="178">
        <f>[1]Data!R52-19.5</f>
        <v>0.30000000000000071</v>
      </c>
      <c r="S52" s="178"/>
      <c r="T52" s="178"/>
      <c r="U52" s="178"/>
      <c r="V52" s="178"/>
      <c r="W52" s="178">
        <f>[1]Data!W52-19.5</f>
        <v>0.5</v>
      </c>
      <c r="X52" s="178">
        <f>[1]Data!X52-19.5</f>
        <v>0.80000000000000071</v>
      </c>
      <c r="Y52" s="178">
        <f>[1]Data!Y52-19.5</f>
        <v>0.89999999999999858</v>
      </c>
    </row>
    <row r="53" spans="1:25" x14ac:dyDescent="0.25">
      <c r="A53" s="139">
        <v>7548</v>
      </c>
      <c r="B53" s="23" t="s">
        <v>83</v>
      </c>
      <c r="C53" s="192">
        <v>115</v>
      </c>
      <c r="D53" s="181">
        <f>[1]Data!D53-23.5</f>
        <v>0</v>
      </c>
      <c r="E53" s="181">
        <f>[1]Data!E53-23.5</f>
        <v>0.30000000000000071</v>
      </c>
      <c r="F53" s="181">
        <f>[1]Data!F53-23.5</f>
        <v>-0.19999999999999929</v>
      </c>
      <c r="G53" s="181"/>
      <c r="H53" s="181">
        <f>[1]Data!H53-23.5</f>
        <v>-0.19999999999999929</v>
      </c>
      <c r="I53" s="181">
        <f>[1]Data!I53-23.5</f>
        <v>-0.19999999999999929</v>
      </c>
      <c r="J53" s="181">
        <f>[1]Data!J53-23.5</f>
        <v>-0.30000000000000071</v>
      </c>
      <c r="K53" s="181">
        <f>[1]Data!K53-23.5</f>
        <v>-0.19999999999999929</v>
      </c>
      <c r="L53" s="181">
        <f>[1]Data!L53-23.5</f>
        <v>0</v>
      </c>
      <c r="M53" s="181"/>
      <c r="N53" s="181">
        <f>[1]Data!N53-23.5</f>
        <v>-0.19999999999999929</v>
      </c>
      <c r="O53" s="181">
        <f>[1]Data!O53-23.5</f>
        <v>-0.5</v>
      </c>
      <c r="P53" s="181">
        <f>[1]Data!P53-23.5</f>
        <v>-0.5</v>
      </c>
      <c r="Q53" s="181">
        <f>[1]Data!Q53-23.5</f>
        <v>-0.69999999999999929</v>
      </c>
      <c r="R53" s="181">
        <f>[1]Data!R53-23.5</f>
        <v>-1</v>
      </c>
      <c r="S53" s="181"/>
      <c r="T53" s="181"/>
      <c r="U53" s="181"/>
      <c r="V53" s="181"/>
      <c r="W53" s="181">
        <f>[1]Data!W53-23.5</f>
        <v>-0.89999999999999858</v>
      </c>
      <c r="X53" s="181">
        <f>[1]Data!X53-23.5</f>
        <v>-0.89999999999999858</v>
      </c>
      <c r="Y53" s="181">
        <f>[1]Data!Y53-23.5</f>
        <v>-0.89999999999999858</v>
      </c>
    </row>
    <row r="54" spans="1:25" x14ac:dyDescent="0.25">
      <c r="A54" s="139">
        <v>7473</v>
      </c>
      <c r="B54" s="23" t="s">
        <v>82</v>
      </c>
      <c r="C54" s="192">
        <v>105</v>
      </c>
      <c r="D54" s="181">
        <f>[1]Data!D54-21</f>
        <v>0</v>
      </c>
      <c r="E54" s="181">
        <f>[1]Data!E54-21</f>
        <v>0</v>
      </c>
      <c r="F54" s="181">
        <f>[1]Data!F54-21</f>
        <v>0.30000000000000071</v>
      </c>
      <c r="G54" s="181"/>
      <c r="H54" s="181">
        <f>[1]Data!H54-21</f>
        <v>0.19999999999999929</v>
      </c>
      <c r="I54" s="181">
        <f>[1]Data!I54-21</f>
        <v>0</v>
      </c>
      <c r="J54" s="181">
        <f>[1]Data!J54-21</f>
        <v>-0.5</v>
      </c>
      <c r="K54" s="181">
        <f>[1]Data!K54-21</f>
        <v>-0.60000000000000142</v>
      </c>
      <c r="L54" s="181">
        <f>[1]Data!L54-21</f>
        <v>-0.69999999999999929</v>
      </c>
      <c r="M54" s="181"/>
      <c r="N54" s="181">
        <f>[1]Data!N54-21</f>
        <v>-0.5</v>
      </c>
      <c r="O54" s="181">
        <f>[1]Data!O54-21</f>
        <v>-0.5</v>
      </c>
      <c r="P54" s="181">
        <f>[1]Data!P54-21</f>
        <v>-0.19999999999999929</v>
      </c>
      <c r="Q54" s="181">
        <f>[1]Data!Q54-21</f>
        <v>-0.10000000000000142</v>
      </c>
      <c r="R54" s="181">
        <f>[1]Data!R54-21</f>
        <v>-0.39999999999999858</v>
      </c>
      <c r="S54" s="181"/>
      <c r="T54" s="181"/>
      <c r="U54" s="181"/>
      <c r="V54" s="181"/>
      <c r="W54" s="181">
        <f>[1]Data!W54-21</f>
        <v>0.30000000000000071</v>
      </c>
      <c r="X54" s="181">
        <f>[1]Data!X54-21</f>
        <v>-0.19999999999999929</v>
      </c>
      <c r="Y54" s="181">
        <f>[1]Data!Y54-21</f>
        <v>-0.69999999999999929</v>
      </c>
    </row>
    <row r="55" spans="1:25" x14ac:dyDescent="0.25">
      <c r="A55" s="139">
        <v>7475</v>
      </c>
      <c r="B55" s="23" t="s">
        <v>82</v>
      </c>
      <c r="C55" s="192">
        <v>90</v>
      </c>
      <c r="D55" s="181">
        <f>[1]Data!D55-17.5</f>
        <v>0</v>
      </c>
      <c r="E55" s="181">
        <f>[1]Data!E55-17.5</f>
        <v>0.39999999999999858</v>
      </c>
      <c r="F55" s="181">
        <f>[1]Data!F55-17.5</f>
        <v>-0.10000000000000142</v>
      </c>
      <c r="G55" s="181"/>
      <c r="H55" s="181">
        <f>[1]Data!H55-17.5</f>
        <v>0.19999999999999929</v>
      </c>
      <c r="I55" s="181">
        <f>[1]Data!I55-17.5</f>
        <v>0.19999999999999929</v>
      </c>
      <c r="J55" s="181">
        <f>[1]Data!J55-17.5</f>
        <v>0.19999999999999929</v>
      </c>
      <c r="K55" s="181">
        <f>[1]Data!K55-17.5</f>
        <v>0.30000000000000071</v>
      </c>
      <c r="L55" s="181">
        <f>[1]Data!L55-17.5</f>
        <v>0.10000000000000142</v>
      </c>
      <c r="M55" s="181"/>
      <c r="N55" s="181">
        <f>[1]Data!N55-17.5</f>
        <v>0.19999999999999929</v>
      </c>
      <c r="O55" s="181">
        <f>[1]Data!O55-17.5</f>
        <v>0.30000000000000071</v>
      </c>
      <c r="P55" s="181">
        <f>[1]Data!P55-17.5</f>
        <v>0.30000000000000071</v>
      </c>
      <c r="Q55" s="181">
        <f>[1]Data!Q55-17.5</f>
        <v>0.39999999999999858</v>
      </c>
      <c r="R55" s="181">
        <f>[1]Data!R55-17.5</f>
        <v>0.5</v>
      </c>
      <c r="S55" s="181"/>
      <c r="T55" s="181"/>
      <c r="U55" s="181"/>
      <c r="V55" s="181"/>
      <c r="W55" s="181">
        <f>[1]Data!W55-17.5</f>
        <v>1</v>
      </c>
      <c r="X55" s="181">
        <f>[1]Data!X55-17.5</f>
        <v>0</v>
      </c>
      <c r="Y55" s="181">
        <f>[1]Data!Y55-17.5</f>
        <v>0</v>
      </c>
    </row>
    <row r="56" spans="1:25" x14ac:dyDescent="0.25">
      <c r="A56" s="139">
        <v>7474</v>
      </c>
      <c r="B56" s="23" t="s">
        <v>82</v>
      </c>
      <c r="C56" s="192">
        <v>100</v>
      </c>
      <c r="D56" s="181">
        <f>[1]Data!D56-20.4</f>
        <v>0</v>
      </c>
      <c r="E56" s="181">
        <f>[1]Data!E56-20.4</f>
        <v>0.10000000000000142</v>
      </c>
      <c r="F56" s="181">
        <f>[1]Data!F56-20.4</f>
        <v>0.40000000000000213</v>
      </c>
      <c r="G56" s="181"/>
      <c r="H56" s="181">
        <f>[1]Data!H56-20.4</f>
        <v>0.10000000000000142</v>
      </c>
      <c r="I56" s="181">
        <f>[1]Data!I56-20.4</f>
        <v>-9.9999999999997868E-2</v>
      </c>
      <c r="J56" s="181">
        <f>[1]Data!J56-20.4</f>
        <v>0.10000000000000142</v>
      </c>
      <c r="K56" s="181">
        <f>[1]Data!K56-20.4</f>
        <v>0.10000000000000142</v>
      </c>
      <c r="L56" s="181">
        <f>[1]Data!L56-20.4</f>
        <v>-9.9999999999997868E-2</v>
      </c>
      <c r="M56" s="181"/>
      <c r="N56" s="181">
        <f>[1]Data!N56-20.4</f>
        <v>0</v>
      </c>
      <c r="O56" s="181">
        <f>[1]Data!O56-20.4</f>
        <v>0.10000000000000142</v>
      </c>
      <c r="P56" s="181">
        <f>[1]Data!P56-20.4</f>
        <v>0.10000000000000142</v>
      </c>
      <c r="Q56" s="181">
        <f>[1]Data!Q56-20.4</f>
        <v>0.20000000000000284</v>
      </c>
      <c r="R56" s="181">
        <f>[1]Data!R56-20.4</f>
        <v>0.20000000000000284</v>
      </c>
      <c r="S56" s="181"/>
      <c r="T56" s="181"/>
      <c r="U56" s="181"/>
      <c r="V56" s="181"/>
      <c r="W56" s="181">
        <f>[1]Data!W56-20.4</f>
        <v>1.3000000000000007</v>
      </c>
      <c r="X56" s="181">
        <f>[1]Data!X56-20.4</f>
        <v>1.1000000000000014</v>
      </c>
      <c r="Y56" s="181">
        <f>[1]Data!Y56-20.4</f>
        <v>1.2000000000000028</v>
      </c>
    </row>
    <row r="57" spans="1:25" ht="13.8" thickBot="1" x14ac:dyDescent="0.3">
      <c r="A57" s="183">
        <v>7472</v>
      </c>
      <c r="B57" s="28" t="s">
        <v>82</v>
      </c>
      <c r="C57" s="193">
        <v>105</v>
      </c>
      <c r="D57" s="185">
        <f>[1]Data!D57-21</f>
        <v>0</v>
      </c>
      <c r="E57" s="185">
        <f>[1]Data!E57-21</f>
        <v>-0.19999999999999929</v>
      </c>
      <c r="F57" s="185">
        <f>[1]Data!F57-21</f>
        <v>-0.19999999999999929</v>
      </c>
      <c r="G57" s="185"/>
      <c r="H57" s="185">
        <f>[1]Data!H57-21</f>
        <v>-0.39999999999999858</v>
      </c>
      <c r="I57" s="185">
        <f>[1]Data!I57-21</f>
        <v>-0.30000000000000071</v>
      </c>
      <c r="J57" s="185">
        <f>[1]Data!J57-21</f>
        <v>-0.10000000000000142</v>
      </c>
      <c r="K57" s="185">
        <f>[1]Data!K57-21</f>
        <v>-0.5</v>
      </c>
      <c r="L57" s="185">
        <f>[1]Data!L57-21</f>
        <v>-0.80000000000000071</v>
      </c>
      <c r="M57" s="185"/>
      <c r="N57" s="185">
        <f>[1]Data!N57-21</f>
        <v>-0.5</v>
      </c>
      <c r="O57" s="185">
        <f>[1]Data!O57-21</f>
        <v>-0.10000000000000142</v>
      </c>
      <c r="P57" s="185">
        <f>[1]Data!P57-21</f>
        <v>0.10000000000000142</v>
      </c>
      <c r="Q57" s="185">
        <f>[1]Data!Q57-21</f>
        <v>-0.10000000000000142</v>
      </c>
      <c r="R57" s="185">
        <f>[1]Data!R57-21</f>
        <v>-0.5</v>
      </c>
      <c r="S57" s="185"/>
      <c r="T57" s="185"/>
      <c r="U57" s="185"/>
      <c r="V57" s="185"/>
      <c r="W57" s="185">
        <f>[1]Data!W57-21</f>
        <v>0.39999999999999858</v>
      </c>
      <c r="X57" s="185">
        <f>[1]Data!X57-21</f>
        <v>0</v>
      </c>
      <c r="Y57" s="185">
        <f>[1]Data!Y57-21</f>
        <v>0</v>
      </c>
    </row>
    <row r="58" spans="1:25" ht="13.8" thickBot="1" x14ac:dyDescent="0.3">
      <c r="A58" s="169" t="s">
        <v>88</v>
      </c>
      <c r="B58" s="187"/>
      <c r="C58" s="187"/>
      <c r="D58" s="188">
        <f>AVERAGE(D52:D57)</f>
        <v>0</v>
      </c>
      <c r="E58" s="188">
        <f t="shared" ref="E58:Y58" si="8">AVERAGE(E52:E57)</f>
        <v>0.15000000000000036</v>
      </c>
      <c r="F58" s="188">
        <f t="shared" si="8"/>
        <v>0.11666666666666714</v>
      </c>
      <c r="G58" s="188" t="e">
        <f t="shared" si="8"/>
        <v>#DIV/0!</v>
      </c>
      <c r="H58" s="188">
        <f t="shared" si="8"/>
        <v>6.6666666666667027E-2</v>
      </c>
      <c r="I58" s="188">
        <f t="shared" si="8"/>
        <v>-1.6666666666666313E-2</v>
      </c>
      <c r="J58" s="188">
        <f t="shared" si="8"/>
        <v>-3.3333333333333805E-2</v>
      </c>
      <c r="K58" s="188">
        <f t="shared" si="8"/>
        <v>-0.11666666666666654</v>
      </c>
      <c r="L58" s="188">
        <f t="shared" si="8"/>
        <v>-0.26666666666666633</v>
      </c>
      <c r="M58" s="188" t="e">
        <f t="shared" si="8"/>
        <v>#DIV/0!</v>
      </c>
      <c r="N58" s="194">
        <f t="shared" si="8"/>
        <v>-0.16666666666666666</v>
      </c>
      <c r="O58" s="188">
        <f t="shared" si="8"/>
        <v>-0.14999999999999977</v>
      </c>
      <c r="P58" s="188">
        <f t="shared" si="8"/>
        <v>5.0000000000000711E-2</v>
      </c>
      <c r="Q58" s="188">
        <f t="shared" si="8"/>
        <v>3.3333333333333215E-2</v>
      </c>
      <c r="R58" s="188">
        <f t="shared" si="8"/>
        <v>-0.14999999999999916</v>
      </c>
      <c r="S58" s="188" t="e">
        <f t="shared" si="8"/>
        <v>#DIV/0!</v>
      </c>
      <c r="T58" s="188" t="e">
        <f t="shared" si="8"/>
        <v>#DIV/0!</v>
      </c>
      <c r="U58" s="188" t="e">
        <f t="shared" si="8"/>
        <v>#DIV/0!</v>
      </c>
      <c r="V58" s="188" t="e">
        <f t="shared" si="8"/>
        <v>#DIV/0!</v>
      </c>
      <c r="W58" s="188">
        <f t="shared" si="8"/>
        <v>0.43333333333333357</v>
      </c>
      <c r="X58" s="188">
        <f t="shared" si="8"/>
        <v>0.13333333333333405</v>
      </c>
      <c r="Y58" s="188">
        <f t="shared" si="8"/>
        <v>8.3333333333333925E-2</v>
      </c>
    </row>
    <row r="59" spans="1:25" ht="13.8" thickBot="1" x14ac:dyDescent="0.3">
      <c r="A59" s="5"/>
      <c r="B59" s="187"/>
      <c r="C59" s="187"/>
      <c r="D59" s="189">
        <f>STDEV(D52:D57)/SQRT(COUNT(D52:D57))</f>
        <v>0</v>
      </c>
      <c r="E59" s="189">
        <f t="shared" ref="E59:Y59" si="9">STDEV(E52:E57)/SQRT(COUNT(E52:E57))</f>
        <v>9.219544457292872E-2</v>
      </c>
      <c r="F59" s="189">
        <f t="shared" si="9"/>
        <v>0.13017082793177773</v>
      </c>
      <c r="G59" s="189" t="e">
        <f t="shared" si="9"/>
        <v>#DIV/0!</v>
      </c>
      <c r="H59" s="189">
        <f t="shared" si="9"/>
        <v>0.13080944580232365</v>
      </c>
      <c r="I59" s="189">
        <f t="shared" si="9"/>
        <v>9.4575073060740714E-2</v>
      </c>
      <c r="J59" s="189">
        <f t="shared" si="9"/>
        <v>0.1358103252497557</v>
      </c>
      <c r="K59" s="189">
        <f t="shared" si="9"/>
        <v>0.15365907428821501</v>
      </c>
      <c r="L59" s="189">
        <f t="shared" si="9"/>
        <v>0.15634719199411445</v>
      </c>
      <c r="M59" s="189" t="e">
        <f t="shared" si="9"/>
        <v>#DIV/0!</v>
      </c>
      <c r="N59" s="189">
        <f t="shared" si="9"/>
        <v>0.11737877907772665</v>
      </c>
      <c r="O59" s="189">
        <f t="shared" si="9"/>
        <v>0.1310216267135571</v>
      </c>
      <c r="P59" s="189">
        <f t="shared" si="9"/>
        <v>0.14548768561863468</v>
      </c>
      <c r="Q59" s="189">
        <f t="shared" si="9"/>
        <v>0.17826322609494583</v>
      </c>
      <c r="R59" s="189">
        <f t="shared" si="9"/>
        <v>0.23487585373270436</v>
      </c>
      <c r="S59" s="189" t="e">
        <f t="shared" si="9"/>
        <v>#DIV/0!</v>
      </c>
      <c r="T59" s="189" t="e">
        <f t="shared" si="9"/>
        <v>#DIV/0!</v>
      </c>
      <c r="U59" s="189" t="e">
        <f t="shared" si="9"/>
        <v>#DIV/0!</v>
      </c>
      <c r="V59" s="189" t="e">
        <f t="shared" si="9"/>
        <v>#DIV/0!</v>
      </c>
      <c r="W59" s="189">
        <f t="shared" si="9"/>
        <v>0.3094798503582708</v>
      </c>
      <c r="X59" s="189">
        <f t="shared" si="9"/>
        <v>0.29401436094933259</v>
      </c>
      <c r="Y59" s="189">
        <f t="shared" si="9"/>
        <v>0.34197140881138655</v>
      </c>
    </row>
    <row r="60" spans="1:25" ht="13.8" x14ac:dyDescent="0.25">
      <c r="B60" s="195"/>
      <c r="E60" s="195"/>
      <c r="H60" s="195"/>
      <c r="K60" s="195"/>
    </row>
    <row r="61" spans="1:25" ht="13.8" x14ac:dyDescent="0.25">
      <c r="A61" s="196"/>
      <c r="B61" s="196"/>
      <c r="C61" s="196"/>
      <c r="D61" s="196"/>
      <c r="E61" s="196"/>
      <c r="F61" s="196"/>
      <c r="G61" s="196"/>
      <c r="H61" s="196"/>
      <c r="I61" s="196"/>
      <c r="J61" s="196"/>
      <c r="K61" s="196"/>
      <c r="L61" s="196"/>
    </row>
    <row r="62" spans="1:25" x14ac:dyDescent="0.25">
      <c r="A62" s="1"/>
      <c r="B62" s="1"/>
      <c r="C62" s="1"/>
      <c r="D62" s="1"/>
      <c r="E62" s="1"/>
      <c r="F62" s="1" t="s">
        <v>28</v>
      </c>
      <c r="G62" s="1"/>
      <c r="H62" s="1"/>
      <c r="I62" s="1"/>
      <c r="J62" s="1"/>
      <c r="K62" s="1"/>
      <c r="L62" s="1"/>
    </row>
    <row r="63" spans="1:2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</row>
    <row r="64" spans="1:2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</row>
    <row r="65" spans="1:1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</row>
    <row r="66" spans="1:1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</row>
    <row r="67" spans="1:1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</row>
    <row r="68" spans="1:12" x14ac:dyDescent="0.25">
      <c r="I68" s="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54"/>
  <sheetViews>
    <sheetView workbookViewId="0">
      <selection activeCell="J58" sqref="J58"/>
    </sheetView>
  </sheetViews>
  <sheetFormatPr defaultRowHeight="13.2" x14ac:dyDescent="0.25"/>
  <cols>
    <col min="2" max="4" width="9.5546875" bestFit="1" customWidth="1"/>
    <col min="5" max="5" width="16.77734375" customWidth="1"/>
  </cols>
  <sheetData>
    <row r="1" spans="1:7" ht="13.8" thickBot="1" x14ac:dyDescent="0.3">
      <c r="A1" s="999" t="s">
        <v>172</v>
      </c>
      <c r="B1" s="1000"/>
      <c r="C1" s="1000"/>
      <c r="D1" s="1000"/>
      <c r="E1" s="1001"/>
    </row>
    <row r="2" spans="1:7" ht="13.8" thickBot="1" x14ac:dyDescent="0.3">
      <c r="A2" s="396" t="s">
        <v>169</v>
      </c>
      <c r="B2" s="1005" t="s">
        <v>170</v>
      </c>
      <c r="C2" s="1006"/>
      <c r="D2" s="1007"/>
      <c r="E2" s="397" t="s">
        <v>100</v>
      </c>
      <c r="F2" s="1"/>
      <c r="G2" s="1"/>
    </row>
    <row r="3" spans="1:7" x14ac:dyDescent="0.25">
      <c r="A3" s="362">
        <v>5.3040000000000003</v>
      </c>
      <c r="B3" s="363">
        <v>1.89</v>
      </c>
      <c r="C3" s="364">
        <v>1.1299999999999999</v>
      </c>
      <c r="D3" s="136"/>
      <c r="E3" s="365">
        <f>AVERAGE(B3:D3)</f>
        <v>1.5099999999999998</v>
      </c>
    </row>
    <row r="4" spans="1:7" x14ac:dyDescent="0.25">
      <c r="A4" s="360">
        <v>10.608000000000001</v>
      </c>
      <c r="B4" s="358">
        <v>3.14</v>
      </c>
      <c r="C4" s="353">
        <v>1.64</v>
      </c>
      <c r="D4" s="35"/>
      <c r="E4" s="354">
        <f t="shared" ref="E4:E10" si="0">AVERAGE(B4:D4)</f>
        <v>2.39</v>
      </c>
    </row>
    <row r="5" spans="1:7" x14ac:dyDescent="0.25">
      <c r="A5" s="360">
        <v>21.25</v>
      </c>
      <c r="B5" s="358">
        <v>5.26</v>
      </c>
      <c r="C5" s="353">
        <v>2.66</v>
      </c>
      <c r="D5" s="35"/>
      <c r="E5" s="354">
        <f t="shared" si="0"/>
        <v>3.96</v>
      </c>
    </row>
    <row r="6" spans="1:7" x14ac:dyDescent="0.25">
      <c r="A6" s="360">
        <v>42.5</v>
      </c>
      <c r="B6" s="358">
        <v>8.34</v>
      </c>
      <c r="C6" s="353">
        <v>4.45</v>
      </c>
      <c r="D6" s="35"/>
      <c r="E6" s="354">
        <f t="shared" si="0"/>
        <v>6.3949999999999996</v>
      </c>
    </row>
    <row r="7" spans="1:7" x14ac:dyDescent="0.25">
      <c r="A7" s="360">
        <v>85</v>
      </c>
      <c r="B7" s="358">
        <v>12.8</v>
      </c>
      <c r="C7" s="353">
        <v>7.33</v>
      </c>
      <c r="D7" s="35"/>
      <c r="E7" s="354">
        <f t="shared" si="0"/>
        <v>10.065000000000001</v>
      </c>
    </row>
    <row r="8" spans="1:7" x14ac:dyDescent="0.25">
      <c r="A8" s="360">
        <v>170</v>
      </c>
      <c r="B8" s="358">
        <v>19.3</v>
      </c>
      <c r="C8" s="353">
        <v>11.7</v>
      </c>
      <c r="D8" s="35"/>
      <c r="E8" s="354">
        <f t="shared" si="0"/>
        <v>15.5</v>
      </c>
    </row>
    <row r="9" spans="1:7" x14ac:dyDescent="0.25">
      <c r="A9" s="360">
        <v>340</v>
      </c>
      <c r="B9" s="358">
        <v>28.6</v>
      </c>
      <c r="C9" s="353">
        <v>18</v>
      </c>
      <c r="D9" s="35"/>
      <c r="E9" s="354">
        <f t="shared" si="0"/>
        <v>23.3</v>
      </c>
    </row>
    <row r="10" spans="1:7" ht="13.8" thickBot="1" x14ac:dyDescent="0.3">
      <c r="A10" s="361">
        <v>680</v>
      </c>
      <c r="B10" s="359">
        <v>41.4</v>
      </c>
      <c r="C10" s="356">
        <v>27.6</v>
      </c>
      <c r="D10" s="36"/>
      <c r="E10" s="354">
        <f t="shared" si="0"/>
        <v>34.5</v>
      </c>
    </row>
    <row r="11" spans="1:7" ht="13.8" thickBot="1" x14ac:dyDescent="0.3"/>
    <row r="12" spans="1:7" ht="13.8" thickBot="1" x14ac:dyDescent="0.3">
      <c r="A12" s="999" t="s">
        <v>172</v>
      </c>
      <c r="B12" s="1000"/>
      <c r="C12" s="1000"/>
      <c r="D12" s="1000"/>
      <c r="E12" s="1001"/>
    </row>
    <row r="13" spans="1:7" ht="13.8" thickBot="1" x14ac:dyDescent="0.3">
      <c r="A13" s="396" t="s">
        <v>169</v>
      </c>
      <c r="B13" s="1005" t="s">
        <v>171</v>
      </c>
      <c r="C13" s="1006"/>
      <c r="D13" s="1007"/>
      <c r="E13" s="397" t="s">
        <v>100</v>
      </c>
    </row>
    <row r="14" spans="1:7" x14ac:dyDescent="0.25">
      <c r="A14" s="362">
        <v>6.8639999999999999</v>
      </c>
      <c r="B14" s="363">
        <v>3.5</v>
      </c>
      <c r="C14" s="364">
        <v>3.8</v>
      </c>
      <c r="D14" s="366">
        <v>3.18</v>
      </c>
      <c r="E14" s="365">
        <f>AVERAGE(B14:D14)</f>
        <v>3.4933333333333336</v>
      </c>
    </row>
    <row r="15" spans="1:7" x14ac:dyDescent="0.25">
      <c r="A15" s="360">
        <v>13.728</v>
      </c>
      <c r="B15" s="358">
        <v>8</v>
      </c>
      <c r="C15" s="353">
        <v>8.4600000000000009</v>
      </c>
      <c r="D15" s="355">
        <v>6.93</v>
      </c>
      <c r="E15" s="354">
        <f t="shared" ref="E15:E20" si="1">AVERAGE(B15:D15)</f>
        <v>7.7966666666666669</v>
      </c>
    </row>
    <row r="16" spans="1:7" x14ac:dyDescent="0.25">
      <c r="A16" s="360">
        <v>27.5</v>
      </c>
      <c r="B16" s="358">
        <v>16.5</v>
      </c>
      <c r="C16" s="353">
        <v>15.9</v>
      </c>
      <c r="D16" s="355">
        <v>12.6</v>
      </c>
      <c r="E16" s="354">
        <f t="shared" si="1"/>
        <v>15</v>
      </c>
    </row>
    <row r="17" spans="1:5" x14ac:dyDescent="0.25">
      <c r="A17" s="360">
        <v>55</v>
      </c>
      <c r="B17" s="358">
        <v>24.2</v>
      </c>
      <c r="C17" s="353">
        <v>23.7</v>
      </c>
      <c r="D17" s="355">
        <v>18.7</v>
      </c>
      <c r="E17" s="354">
        <f t="shared" si="1"/>
        <v>22.2</v>
      </c>
    </row>
    <row r="18" spans="1:5" x14ac:dyDescent="0.25">
      <c r="A18" s="360">
        <v>110</v>
      </c>
      <c r="B18" s="358">
        <v>31.2</v>
      </c>
      <c r="C18" s="353">
        <v>30.7</v>
      </c>
      <c r="D18" s="355">
        <v>26.2</v>
      </c>
      <c r="E18" s="354">
        <f t="shared" si="1"/>
        <v>29.366666666666664</v>
      </c>
    </row>
    <row r="19" spans="1:5" x14ac:dyDescent="0.25">
      <c r="A19" s="360">
        <v>220</v>
      </c>
      <c r="B19" s="358">
        <v>39</v>
      </c>
      <c r="C19" s="353">
        <v>38.6</v>
      </c>
      <c r="D19" s="355">
        <v>37.200000000000003</v>
      </c>
      <c r="E19" s="354">
        <f t="shared" si="1"/>
        <v>38.266666666666666</v>
      </c>
    </row>
    <row r="20" spans="1:5" ht="13.8" thickBot="1" x14ac:dyDescent="0.3">
      <c r="A20" s="361">
        <v>440</v>
      </c>
      <c r="B20" s="359">
        <v>48.5</v>
      </c>
      <c r="C20" s="356">
        <v>48.3</v>
      </c>
      <c r="D20" s="357">
        <v>56.2</v>
      </c>
      <c r="E20" s="354">
        <f t="shared" si="1"/>
        <v>51</v>
      </c>
    </row>
    <row r="21" spans="1:5" x14ac:dyDescent="0.25">
      <c r="A21" s="367"/>
      <c r="B21" s="271"/>
      <c r="C21" s="271"/>
      <c r="D21" s="271"/>
      <c r="E21" s="103"/>
    </row>
    <row r="23" spans="1:5" ht="13.8" thickBot="1" x14ac:dyDescent="0.3"/>
    <row r="24" spans="1:5" ht="13.8" thickBot="1" x14ac:dyDescent="0.3">
      <c r="A24" s="999" t="s">
        <v>173</v>
      </c>
      <c r="B24" s="1000"/>
      <c r="C24" s="1000"/>
      <c r="D24" s="1000"/>
      <c r="E24" s="1001"/>
    </row>
    <row r="25" spans="1:5" ht="13.8" thickBot="1" x14ac:dyDescent="0.3">
      <c r="A25" s="396" t="s">
        <v>169</v>
      </c>
      <c r="B25" s="1005" t="s">
        <v>174</v>
      </c>
      <c r="C25" s="1006"/>
      <c r="D25" s="1007"/>
      <c r="E25" s="397" t="s">
        <v>100</v>
      </c>
    </row>
    <row r="26" spans="1:5" x14ac:dyDescent="0.25">
      <c r="A26" s="391">
        <v>93.7</v>
      </c>
      <c r="B26" s="392">
        <v>5.29</v>
      </c>
      <c r="C26" s="393">
        <v>4.21</v>
      </c>
      <c r="D26" s="394"/>
      <c r="E26" s="395">
        <f>AVERAGE(B26:D26)</f>
        <v>4.75</v>
      </c>
    </row>
    <row r="27" spans="1:5" x14ac:dyDescent="0.25">
      <c r="A27" s="380">
        <v>187</v>
      </c>
      <c r="B27" s="383">
        <v>4.5</v>
      </c>
      <c r="C27" s="382">
        <v>4.45</v>
      </c>
      <c r="D27" s="384">
        <v>4.0199999999999996</v>
      </c>
      <c r="E27" s="389">
        <f>AVERAGE(B27:D27)</f>
        <v>4.3233333333333333</v>
      </c>
    </row>
    <row r="28" spans="1:5" x14ac:dyDescent="0.25">
      <c r="A28" s="380">
        <v>375</v>
      </c>
      <c r="B28" s="383">
        <v>5.52</v>
      </c>
      <c r="C28" s="382">
        <v>7.93</v>
      </c>
      <c r="D28" s="384">
        <v>4.71</v>
      </c>
      <c r="E28" s="389">
        <f>AVERAGE(B28:D28)</f>
        <v>6.0533333333333337</v>
      </c>
    </row>
    <row r="29" spans="1:5" x14ac:dyDescent="0.25">
      <c r="A29" s="380">
        <v>750</v>
      </c>
      <c r="B29" s="383">
        <v>18.5</v>
      </c>
      <c r="C29" s="382">
        <v>23.1</v>
      </c>
      <c r="D29" s="384">
        <v>17.899999999999999</v>
      </c>
      <c r="E29" s="389">
        <f>AVERAGE(B29:D29)</f>
        <v>19.833333333333332</v>
      </c>
    </row>
    <row r="30" spans="1:5" ht="13.8" thickBot="1" x14ac:dyDescent="0.3">
      <c r="A30" s="381">
        <v>1500</v>
      </c>
      <c r="B30" s="385">
        <v>35.6</v>
      </c>
      <c r="C30" s="386">
        <v>41.6</v>
      </c>
      <c r="D30" s="387">
        <v>35</v>
      </c>
      <c r="E30" s="390">
        <f>AVERAGE(B30:D30)</f>
        <v>37.4</v>
      </c>
    </row>
    <row r="31" spans="1:5" ht="13.8" thickBot="1" x14ac:dyDescent="0.3"/>
    <row r="32" spans="1:5" ht="13.8" thickBot="1" x14ac:dyDescent="0.3">
      <c r="A32" s="999" t="s">
        <v>173</v>
      </c>
      <c r="B32" s="1000"/>
      <c r="C32" s="1000"/>
      <c r="D32" s="1000"/>
      <c r="E32" s="1001"/>
    </row>
    <row r="33" spans="1:5" ht="13.8" thickBot="1" x14ac:dyDescent="0.3">
      <c r="A33" s="396" t="s">
        <v>169</v>
      </c>
      <c r="B33" s="1008" t="s">
        <v>175</v>
      </c>
      <c r="C33" s="1006"/>
      <c r="D33" s="1009"/>
      <c r="E33" s="398" t="s">
        <v>100</v>
      </c>
    </row>
    <row r="34" spans="1:5" x14ac:dyDescent="0.25">
      <c r="A34" s="377">
        <v>11.7</v>
      </c>
      <c r="B34" s="374">
        <v>1.93</v>
      </c>
      <c r="C34" s="369">
        <v>2.1800000000000002</v>
      </c>
      <c r="D34" s="370"/>
      <c r="E34" s="388">
        <f>AVERAGE(B34:D34)</f>
        <v>2.0550000000000002</v>
      </c>
    </row>
    <row r="35" spans="1:5" x14ac:dyDescent="0.25">
      <c r="A35" s="378">
        <v>23.4</v>
      </c>
      <c r="B35" s="375">
        <v>4.09</v>
      </c>
      <c r="C35" s="368">
        <v>3.8</v>
      </c>
      <c r="D35" s="371"/>
      <c r="E35" s="389">
        <f t="shared" ref="E35:E41" si="2">AVERAGE(B35:D35)</f>
        <v>3.9449999999999998</v>
      </c>
    </row>
    <row r="36" spans="1:5" x14ac:dyDescent="0.25">
      <c r="A36" s="378">
        <v>46.9</v>
      </c>
      <c r="B36" s="375">
        <v>4.46</v>
      </c>
      <c r="C36" s="368">
        <v>6.43</v>
      </c>
      <c r="D36" s="371">
        <v>4.0199999999999996</v>
      </c>
      <c r="E36" s="389">
        <f t="shared" si="2"/>
        <v>4.97</v>
      </c>
    </row>
    <row r="37" spans="1:5" x14ac:dyDescent="0.25">
      <c r="A37" s="378">
        <v>93.7</v>
      </c>
      <c r="B37" s="375">
        <v>9.5299999999999994</v>
      </c>
      <c r="C37" s="368">
        <v>21.5</v>
      </c>
      <c r="D37" s="371">
        <v>7.9</v>
      </c>
      <c r="E37" s="389">
        <f t="shared" si="2"/>
        <v>12.976666666666667</v>
      </c>
    </row>
    <row r="38" spans="1:5" x14ac:dyDescent="0.25">
      <c r="A38" s="378">
        <v>187</v>
      </c>
      <c r="B38" s="375">
        <v>17.100000000000001</v>
      </c>
      <c r="C38" s="368">
        <v>24.5</v>
      </c>
      <c r="D38" s="371">
        <v>12.5</v>
      </c>
      <c r="E38" s="389">
        <f t="shared" si="2"/>
        <v>18.033333333333335</v>
      </c>
    </row>
    <row r="39" spans="1:5" x14ac:dyDescent="0.25">
      <c r="A39" s="378">
        <v>375</v>
      </c>
      <c r="B39" s="375">
        <v>31.4</v>
      </c>
      <c r="C39" s="368">
        <v>26.5</v>
      </c>
      <c r="D39" s="371">
        <v>33.700000000000003</v>
      </c>
      <c r="E39" s="389">
        <f t="shared" si="2"/>
        <v>30.533333333333331</v>
      </c>
    </row>
    <row r="40" spans="1:5" x14ac:dyDescent="0.25">
      <c r="A40" s="378">
        <v>750</v>
      </c>
      <c r="B40" s="375">
        <v>43.8</v>
      </c>
      <c r="C40" s="368">
        <v>48.4</v>
      </c>
      <c r="D40" s="371">
        <v>41.4</v>
      </c>
      <c r="E40" s="389">
        <f t="shared" si="2"/>
        <v>44.533333333333331</v>
      </c>
    </row>
    <row r="41" spans="1:5" ht="13.8" thickBot="1" x14ac:dyDescent="0.3">
      <c r="A41" s="379">
        <v>1500</v>
      </c>
      <c r="B41" s="376">
        <v>74</v>
      </c>
      <c r="C41" s="372">
        <v>87.3</v>
      </c>
      <c r="D41" s="373">
        <v>68.7</v>
      </c>
      <c r="E41" s="390">
        <f t="shared" si="2"/>
        <v>76.666666666666671</v>
      </c>
    </row>
    <row r="44" spans="1:5" ht="13.8" thickBot="1" x14ac:dyDescent="0.3"/>
    <row r="45" spans="1:5" ht="13.8" thickBot="1" x14ac:dyDescent="0.3">
      <c r="A45" s="999" t="s">
        <v>199</v>
      </c>
      <c r="B45" s="1000"/>
      <c r="C45" s="1000"/>
      <c r="D45" s="1000"/>
      <c r="E45" s="1001"/>
    </row>
    <row r="46" spans="1:5" ht="13.8" thickBot="1" x14ac:dyDescent="0.3">
      <c r="A46" s="399" t="s">
        <v>198</v>
      </c>
      <c r="B46" s="1002" t="s">
        <v>175</v>
      </c>
      <c r="C46" s="1003"/>
      <c r="D46" s="1004"/>
      <c r="E46" s="398" t="s">
        <v>100</v>
      </c>
    </row>
    <row r="47" spans="1:5" x14ac:dyDescent="0.25">
      <c r="A47" s="504">
        <v>0</v>
      </c>
      <c r="B47" s="501">
        <v>100</v>
      </c>
      <c r="C47" s="500">
        <v>100</v>
      </c>
      <c r="D47" s="291">
        <v>100</v>
      </c>
      <c r="E47" s="400">
        <f>AVERAGE(B47:D47)</f>
        <v>100</v>
      </c>
    </row>
    <row r="48" spans="1:5" x14ac:dyDescent="0.25">
      <c r="A48" s="505">
        <v>0.03</v>
      </c>
      <c r="B48" s="502">
        <v>91.637600000000006</v>
      </c>
      <c r="C48" s="113">
        <v>95</v>
      </c>
      <c r="D48" s="293">
        <v>88.935599999999994</v>
      </c>
      <c r="E48" s="401">
        <f t="shared" ref="E48:E54" si="3">AVERAGE(B48:D48)</f>
        <v>91.857733333333343</v>
      </c>
    </row>
    <row r="49" spans="1:5" x14ac:dyDescent="0.25">
      <c r="A49" s="505">
        <v>0.1</v>
      </c>
      <c r="B49" s="502">
        <v>84.552800000000005</v>
      </c>
      <c r="C49" s="113">
        <v>85</v>
      </c>
      <c r="D49" s="293">
        <v>82.773099999999999</v>
      </c>
      <c r="E49" s="401">
        <f t="shared" si="3"/>
        <v>84.10863333333333</v>
      </c>
    </row>
    <row r="50" spans="1:5" x14ac:dyDescent="0.25">
      <c r="A50" s="505">
        <v>0.3</v>
      </c>
      <c r="B50" s="502">
        <v>60.627200000000002</v>
      </c>
      <c r="C50" s="113">
        <v>62.222200000000001</v>
      </c>
      <c r="D50" s="293">
        <v>58.543399999999998</v>
      </c>
      <c r="E50" s="401">
        <f t="shared" si="3"/>
        <v>60.464266666666667</v>
      </c>
    </row>
    <row r="51" spans="1:5" x14ac:dyDescent="0.25">
      <c r="A51" s="505">
        <v>1</v>
      </c>
      <c r="B51" s="502">
        <v>47.619</v>
      </c>
      <c r="C51" s="113">
        <v>40.555599999999998</v>
      </c>
      <c r="D51" s="293">
        <v>43.417400000000001</v>
      </c>
      <c r="E51" s="401">
        <f t="shared" si="3"/>
        <v>43.863999999999997</v>
      </c>
    </row>
    <row r="52" spans="1:5" x14ac:dyDescent="0.25">
      <c r="A52" s="505">
        <v>5</v>
      </c>
      <c r="B52" s="502">
        <v>41.231099999999998</v>
      </c>
      <c r="C52" s="113">
        <v>30.555599999999998</v>
      </c>
      <c r="D52" s="293">
        <v>33.893599999999999</v>
      </c>
      <c r="E52" s="401">
        <f t="shared" si="3"/>
        <v>35.226766666666663</v>
      </c>
    </row>
    <row r="53" spans="1:5" x14ac:dyDescent="0.25">
      <c r="A53" s="505">
        <v>10</v>
      </c>
      <c r="B53" s="502">
        <v>29.036000000000001</v>
      </c>
      <c r="C53" s="113">
        <v>12.777799999999999</v>
      </c>
      <c r="D53" s="293">
        <v>24.229700000000001</v>
      </c>
      <c r="E53" s="401">
        <f t="shared" si="3"/>
        <v>22.014499999999998</v>
      </c>
    </row>
    <row r="54" spans="1:5" ht="13.8" thickBot="1" x14ac:dyDescent="0.3">
      <c r="A54" s="506">
        <v>20</v>
      </c>
      <c r="B54" s="503">
        <v>10.034800000000001</v>
      </c>
      <c r="C54" s="117">
        <v>5.5599999999999997E-2</v>
      </c>
      <c r="D54" s="299">
        <v>3.0811999999999999</v>
      </c>
      <c r="E54" s="402">
        <f t="shared" si="3"/>
        <v>4.3905333333333338</v>
      </c>
    </row>
  </sheetData>
  <mergeCells count="10">
    <mergeCell ref="A45:E45"/>
    <mergeCell ref="B46:D46"/>
    <mergeCell ref="B2:D2"/>
    <mergeCell ref="B13:D13"/>
    <mergeCell ref="A1:E1"/>
    <mergeCell ref="A24:E24"/>
    <mergeCell ref="B25:D25"/>
    <mergeCell ref="B33:D33"/>
    <mergeCell ref="A12:E12"/>
    <mergeCell ref="A32:E3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abSelected="1" topLeftCell="A5" workbookViewId="0">
      <selection activeCell="J16" sqref="J16"/>
    </sheetView>
  </sheetViews>
  <sheetFormatPr defaultRowHeight="13.2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FC162"/>
  <sheetViews>
    <sheetView topLeftCell="A9" zoomScale="87" zoomScaleNormal="100" workbookViewId="0">
      <selection activeCell="G67" sqref="G67"/>
    </sheetView>
  </sheetViews>
  <sheetFormatPr defaultRowHeight="13.2" x14ac:dyDescent="0.25"/>
  <cols>
    <col min="6" max="6" width="15" customWidth="1"/>
    <col min="7" max="7" width="17.21875" customWidth="1"/>
    <col min="11" max="11" width="12.109375" customWidth="1"/>
    <col min="12" max="12" width="18.44140625" customWidth="1"/>
  </cols>
  <sheetData>
    <row r="1" spans="1:9" x14ac:dyDescent="0.25">
      <c r="A1" s="966" t="s">
        <v>336</v>
      </c>
      <c r="B1" s="912"/>
      <c r="C1" s="912"/>
      <c r="D1" s="912"/>
      <c r="E1" s="912"/>
    </row>
    <row r="2" spans="1:9" ht="23.4" thickBot="1" x14ac:dyDescent="0.45">
      <c r="A2" s="896"/>
      <c r="B2" s="897" t="s">
        <v>206</v>
      </c>
      <c r="C2" s="897" t="s">
        <v>207</v>
      </c>
      <c r="D2" s="897" t="s">
        <v>208</v>
      </c>
      <c r="E2" s="897" t="s">
        <v>209</v>
      </c>
      <c r="F2" s="897" t="s">
        <v>210</v>
      </c>
      <c r="G2" s="897" t="s">
        <v>211</v>
      </c>
    </row>
    <row r="3" spans="1:9" x14ac:dyDescent="0.25">
      <c r="A3" s="907" t="s">
        <v>212</v>
      </c>
      <c r="B3" s="900">
        <v>107</v>
      </c>
      <c r="C3" s="900">
        <v>447</v>
      </c>
      <c r="D3" s="900">
        <v>7010</v>
      </c>
      <c r="E3" s="900">
        <v>37900</v>
      </c>
      <c r="F3" s="900">
        <v>0.06</v>
      </c>
      <c r="G3" s="901">
        <v>5.41</v>
      </c>
    </row>
    <row r="4" spans="1:9" x14ac:dyDescent="0.25">
      <c r="A4" s="908" t="s">
        <v>212</v>
      </c>
      <c r="B4" s="899">
        <v>102</v>
      </c>
      <c r="C4" s="899">
        <v>278</v>
      </c>
      <c r="D4" s="899">
        <v>4720</v>
      </c>
      <c r="E4" s="899">
        <v>4280</v>
      </c>
      <c r="F4" s="899">
        <v>0.06</v>
      </c>
      <c r="G4" s="902">
        <v>0.91</v>
      </c>
    </row>
    <row r="5" spans="1:9" x14ac:dyDescent="0.25">
      <c r="A5" s="908" t="s">
        <v>212</v>
      </c>
      <c r="B5" s="899">
        <v>98</v>
      </c>
      <c r="C5" s="899">
        <v>405</v>
      </c>
      <c r="D5" s="899">
        <v>3820</v>
      </c>
      <c r="E5" s="899">
        <v>3450</v>
      </c>
      <c r="F5" s="899">
        <v>0.11</v>
      </c>
      <c r="G5" s="902">
        <v>0.9</v>
      </c>
    </row>
    <row r="6" spans="1:9" x14ac:dyDescent="0.25">
      <c r="A6" s="908" t="s">
        <v>212</v>
      </c>
      <c r="B6" s="899">
        <v>29</v>
      </c>
      <c r="C6" s="899">
        <v>126</v>
      </c>
      <c r="D6" s="899">
        <v>7200</v>
      </c>
      <c r="E6" s="899">
        <v>832</v>
      </c>
      <c r="F6" s="899">
        <v>0.02</v>
      </c>
      <c r="G6" s="902">
        <v>0.12</v>
      </c>
    </row>
    <row r="7" spans="1:9" x14ac:dyDescent="0.25">
      <c r="A7" s="908" t="s">
        <v>212</v>
      </c>
      <c r="B7" s="899">
        <v>33</v>
      </c>
      <c r="C7" s="899">
        <v>229</v>
      </c>
      <c r="D7" s="899">
        <v>3700</v>
      </c>
      <c r="E7" s="899">
        <v>1180</v>
      </c>
      <c r="F7" s="899">
        <v>0.06</v>
      </c>
      <c r="G7" s="902">
        <v>0.32</v>
      </c>
    </row>
    <row r="8" spans="1:9" ht="13.8" thickBot="1" x14ac:dyDescent="0.3">
      <c r="A8" s="909" t="s">
        <v>212</v>
      </c>
      <c r="B8" s="903">
        <v>153</v>
      </c>
      <c r="C8" s="903">
        <v>338</v>
      </c>
      <c r="D8" s="903">
        <v>4720</v>
      </c>
      <c r="E8" s="903">
        <v>6200</v>
      </c>
      <c r="F8" s="903">
        <v>7.0000000000000007E-2</v>
      </c>
      <c r="G8" s="916">
        <v>1.31</v>
      </c>
      <c r="H8" s="994">
        <f>AVERAGE(F3:F8)</f>
        <v>6.3333333333333325E-2</v>
      </c>
      <c r="I8" s="994">
        <f>AVERAGE(G3:G8)</f>
        <v>1.4950000000000001</v>
      </c>
    </row>
    <row r="9" spans="1:9" ht="23.4" thickBot="1" x14ac:dyDescent="0.45">
      <c r="A9" s="896"/>
      <c r="B9" s="896"/>
      <c r="C9" s="898"/>
      <c r="D9" s="898"/>
      <c r="E9" s="898"/>
      <c r="F9" s="993"/>
      <c r="G9" s="896"/>
    </row>
    <row r="10" spans="1:9" x14ac:dyDescent="0.25">
      <c r="A10" s="904" t="s">
        <v>213</v>
      </c>
      <c r="B10" s="969">
        <v>81</v>
      </c>
      <c r="C10" s="969">
        <v>581</v>
      </c>
      <c r="D10" s="969">
        <v>3990</v>
      </c>
      <c r="E10" s="969">
        <v>122000</v>
      </c>
      <c r="F10" s="969">
        <v>0.15</v>
      </c>
      <c r="G10" s="970">
        <v>30.58</v>
      </c>
    </row>
    <row r="11" spans="1:9" x14ac:dyDescent="0.25">
      <c r="A11" s="905" t="s">
        <v>213</v>
      </c>
      <c r="B11" s="971">
        <v>99</v>
      </c>
      <c r="C11" s="971">
        <v>495</v>
      </c>
      <c r="D11" s="971">
        <v>4570</v>
      </c>
      <c r="E11" s="971">
        <v>183000</v>
      </c>
      <c r="F11" s="971">
        <v>0.11</v>
      </c>
      <c r="G11" s="972">
        <v>40.04</v>
      </c>
    </row>
    <row r="12" spans="1:9" x14ac:dyDescent="0.25">
      <c r="A12" s="905" t="s">
        <v>213</v>
      </c>
      <c r="B12" s="971">
        <v>160</v>
      </c>
      <c r="C12" s="971">
        <v>1010</v>
      </c>
      <c r="D12" s="971">
        <v>7850</v>
      </c>
      <c r="E12" s="971">
        <v>66600</v>
      </c>
      <c r="F12" s="971">
        <v>0.13</v>
      </c>
      <c r="G12" s="972">
        <v>8.48</v>
      </c>
    </row>
    <row r="13" spans="1:9" x14ac:dyDescent="0.25">
      <c r="A13" s="905" t="s">
        <v>213</v>
      </c>
      <c r="B13" s="971">
        <v>40</v>
      </c>
      <c r="C13" s="971">
        <v>732</v>
      </c>
      <c r="D13" s="971">
        <v>3780</v>
      </c>
      <c r="E13" s="971">
        <v>69900</v>
      </c>
      <c r="F13" s="971">
        <v>0.19</v>
      </c>
      <c r="G13" s="972">
        <v>18.489999999999998</v>
      </c>
    </row>
    <row r="14" spans="1:9" x14ac:dyDescent="0.25">
      <c r="A14" s="905" t="s">
        <v>213</v>
      </c>
      <c r="B14" s="971">
        <v>156</v>
      </c>
      <c r="C14" s="971">
        <v>180</v>
      </c>
      <c r="D14" s="971">
        <v>4060</v>
      </c>
      <c r="E14" s="971">
        <v>9140</v>
      </c>
      <c r="F14" s="971">
        <v>0.04</v>
      </c>
      <c r="G14" s="972">
        <v>2.25</v>
      </c>
    </row>
    <row r="15" spans="1:9" ht="13.8" thickBot="1" x14ac:dyDescent="0.3">
      <c r="A15" s="906" t="s">
        <v>213</v>
      </c>
      <c r="B15" s="973">
        <v>158</v>
      </c>
      <c r="C15" s="973">
        <v>280</v>
      </c>
      <c r="D15" s="973">
        <v>2340</v>
      </c>
      <c r="E15" s="973">
        <v>13200</v>
      </c>
      <c r="F15" s="973">
        <v>0.12</v>
      </c>
      <c r="G15" s="974">
        <v>5.64</v>
      </c>
      <c r="H15" s="994">
        <f>AVERAGE(F10:F15)</f>
        <v>0.12333333333333335</v>
      </c>
      <c r="I15" s="994">
        <f>AVERAGE(G10:G15)</f>
        <v>17.580000000000002</v>
      </c>
    </row>
    <row r="17" spans="6:21" x14ac:dyDescent="0.25">
      <c r="F17" s="966" t="s">
        <v>337</v>
      </c>
      <c r="G17" s="912"/>
      <c r="H17" s="912"/>
      <c r="I17" s="912"/>
      <c r="N17" s="966" t="s">
        <v>357</v>
      </c>
      <c r="O17" s="912"/>
      <c r="P17" s="912"/>
      <c r="Q17" s="912"/>
      <c r="R17" s="912"/>
      <c r="S17" s="912"/>
      <c r="T17" s="912"/>
      <c r="U17" s="912"/>
    </row>
    <row r="41" spans="1:48" x14ac:dyDescent="0.25">
      <c r="F41" s="966" t="s">
        <v>338</v>
      </c>
      <c r="G41" s="912"/>
      <c r="S41" s="912" t="s">
        <v>358</v>
      </c>
      <c r="T41" s="912"/>
      <c r="U41" s="912"/>
      <c r="V41" s="912"/>
      <c r="W41" s="912"/>
      <c r="X41" s="912"/>
      <c r="Y41" s="912"/>
      <c r="Z41" s="912"/>
    </row>
    <row r="42" spans="1:48" ht="15.6" x14ac:dyDescent="0.3">
      <c r="A42" t="s">
        <v>339</v>
      </c>
      <c r="G42" s="964" t="s">
        <v>340</v>
      </c>
      <c r="H42" s="964" t="s">
        <v>207</v>
      </c>
      <c r="I42" s="964" t="s">
        <v>208</v>
      </c>
      <c r="J42" s="965" t="s">
        <v>209</v>
      </c>
      <c r="K42" s="965" t="s">
        <v>210</v>
      </c>
      <c r="L42" s="964" t="s">
        <v>211</v>
      </c>
      <c r="AO42" s="923"/>
      <c r="AQ42" s="934"/>
      <c r="AR42" s="921"/>
      <c r="AS42" s="1"/>
      <c r="AT42" s="918"/>
      <c r="AU42" s="64"/>
      <c r="AV42" s="923"/>
    </row>
    <row r="43" spans="1:48" ht="15.6" x14ac:dyDescent="0.3">
      <c r="A43" t="s">
        <v>341</v>
      </c>
      <c r="F43" s="263" t="s">
        <v>212</v>
      </c>
      <c r="G43" s="1">
        <v>107</v>
      </c>
      <c r="H43" s="263">
        <v>1240</v>
      </c>
      <c r="I43" s="263">
        <v>46800</v>
      </c>
      <c r="J43" s="263">
        <v>141000</v>
      </c>
      <c r="K43" s="945">
        <v>2.6495726495726495E-2</v>
      </c>
      <c r="L43" s="945">
        <v>3.0128205128205128</v>
      </c>
      <c r="AO43" s="923"/>
      <c r="AQ43" s="934"/>
      <c r="AR43" s="921"/>
      <c r="AS43" s="1"/>
      <c r="AT43" s="918"/>
      <c r="AU43" s="64"/>
      <c r="AV43" s="923"/>
    </row>
    <row r="44" spans="1:48" ht="15.6" x14ac:dyDescent="0.3">
      <c r="A44" t="s">
        <v>342</v>
      </c>
      <c r="F44" s="263" t="s">
        <v>212</v>
      </c>
      <c r="G44" s="1">
        <v>102</v>
      </c>
      <c r="H44" s="263">
        <v>718</v>
      </c>
      <c r="I44" s="263">
        <v>36600</v>
      </c>
      <c r="J44" s="263">
        <v>58400</v>
      </c>
      <c r="K44" s="945">
        <v>1.9617486338797813E-2</v>
      </c>
      <c r="L44" s="945">
        <v>1.5956284153005464</v>
      </c>
      <c r="M44" s="995" t="s">
        <v>267</v>
      </c>
      <c r="AO44" s="923"/>
      <c r="AQ44" s="934"/>
      <c r="AR44" s="921"/>
      <c r="AS44" s="1"/>
      <c r="AT44" s="918"/>
      <c r="AU44" s="64"/>
      <c r="AV44" s="923"/>
    </row>
    <row r="45" spans="1:48" ht="15.6" x14ac:dyDescent="0.3">
      <c r="A45" t="s">
        <v>343</v>
      </c>
      <c r="F45" s="263" t="s">
        <v>212</v>
      </c>
      <c r="G45" s="1">
        <v>106</v>
      </c>
      <c r="H45" s="263">
        <v>208</v>
      </c>
      <c r="I45" s="263">
        <v>46800</v>
      </c>
      <c r="J45" s="263">
        <v>135000</v>
      </c>
      <c r="K45" s="945">
        <v>4.4444444444444444E-3</v>
      </c>
      <c r="L45" s="945">
        <v>2.8846153846153846</v>
      </c>
      <c r="AO45" s="923"/>
      <c r="AQ45" s="934"/>
      <c r="AR45" s="921"/>
      <c r="AS45" s="1"/>
      <c r="AT45" s="918"/>
      <c r="AU45" s="64"/>
      <c r="AV45" s="923"/>
    </row>
    <row r="46" spans="1:48" ht="15.6" x14ac:dyDescent="0.3">
      <c r="A46" t="s">
        <v>344</v>
      </c>
      <c r="F46" s="263" t="s">
        <v>213</v>
      </c>
      <c r="G46" s="1">
        <v>83</v>
      </c>
      <c r="H46" s="263">
        <v>1260</v>
      </c>
      <c r="I46" s="263">
        <v>23200</v>
      </c>
      <c r="J46" s="263">
        <v>177000</v>
      </c>
      <c r="K46" s="945">
        <v>5.4310344827586204E-2</v>
      </c>
      <c r="L46" s="945">
        <v>7.6293103448275863</v>
      </c>
      <c r="AO46" s="923"/>
      <c r="AQ46" s="934"/>
      <c r="AR46" s="921"/>
      <c r="AS46" s="1"/>
      <c r="AT46" s="918"/>
      <c r="AU46" s="64"/>
      <c r="AV46" s="923"/>
    </row>
    <row r="47" spans="1:48" ht="15.6" x14ac:dyDescent="0.3">
      <c r="A47" t="s">
        <v>345</v>
      </c>
      <c r="F47" s="263" t="s">
        <v>212</v>
      </c>
      <c r="G47" s="1">
        <v>98</v>
      </c>
      <c r="H47" s="263">
        <v>680</v>
      </c>
      <c r="I47" s="263">
        <v>17400</v>
      </c>
      <c r="J47" s="263">
        <v>42700</v>
      </c>
      <c r="K47" s="945">
        <v>3.9080459770114942E-2</v>
      </c>
      <c r="L47" s="945">
        <v>2.4540229885057472</v>
      </c>
      <c r="AO47" s="923"/>
      <c r="AQ47" s="934"/>
      <c r="AR47" s="921"/>
      <c r="AS47" s="1"/>
      <c r="AT47" s="918"/>
      <c r="AU47" s="64"/>
      <c r="AV47" s="923"/>
    </row>
    <row r="48" spans="1:48" ht="15.6" x14ac:dyDescent="0.3">
      <c r="A48" t="s">
        <v>346</v>
      </c>
      <c r="F48" s="263" t="s">
        <v>213</v>
      </c>
      <c r="G48" s="1">
        <v>100</v>
      </c>
      <c r="H48" s="263">
        <v>46.3</v>
      </c>
      <c r="I48" s="263">
        <v>142</v>
      </c>
      <c r="J48" s="263">
        <v>20700</v>
      </c>
      <c r="K48" s="989">
        <v>0.32605633802816897</v>
      </c>
      <c r="L48" s="989">
        <v>145.77464788732394</v>
      </c>
      <c r="AO48" s="923"/>
      <c r="AQ48" s="934"/>
      <c r="AR48" s="921"/>
      <c r="AS48" s="1"/>
      <c r="AT48" s="918"/>
      <c r="AU48" s="64"/>
      <c r="AV48" s="923"/>
    </row>
    <row r="49" spans="1:48" ht="15.6" x14ac:dyDescent="0.3">
      <c r="A49" t="s">
        <v>347</v>
      </c>
      <c r="F49" s="263" t="s">
        <v>213</v>
      </c>
      <c r="G49" s="1">
        <v>96</v>
      </c>
      <c r="H49" s="263">
        <v>530</v>
      </c>
      <c r="I49" s="263">
        <v>17800</v>
      </c>
      <c r="J49" s="263">
        <v>157000</v>
      </c>
      <c r="K49" s="945">
        <v>2.9775280898876405E-2</v>
      </c>
      <c r="L49" s="945">
        <v>8.8202247191011232</v>
      </c>
      <c r="AO49" s="923"/>
      <c r="AQ49" s="934"/>
      <c r="AR49" s="921"/>
      <c r="AS49" s="1"/>
      <c r="AT49" s="918"/>
      <c r="AU49" s="64"/>
      <c r="AV49" s="923"/>
    </row>
    <row r="50" spans="1:48" ht="15.6" x14ac:dyDescent="0.3">
      <c r="A50" t="s">
        <v>348</v>
      </c>
      <c r="F50" s="263" t="s">
        <v>212</v>
      </c>
      <c r="G50" s="1">
        <v>115</v>
      </c>
      <c r="H50" s="263">
        <v>1590</v>
      </c>
      <c r="I50" s="263">
        <v>75800</v>
      </c>
      <c r="J50" s="263">
        <v>177000</v>
      </c>
      <c r="K50" s="945">
        <v>2.0976253298153034E-2</v>
      </c>
      <c r="L50" s="945">
        <v>2.3350923482849604</v>
      </c>
      <c r="AO50" s="923"/>
      <c r="AQ50" s="934"/>
      <c r="AR50" s="921"/>
      <c r="AS50" s="1"/>
      <c r="AT50" s="918"/>
      <c r="AU50" s="64"/>
      <c r="AV50" s="923"/>
    </row>
    <row r="51" spans="1:48" ht="15.6" x14ac:dyDescent="0.3">
      <c r="F51" s="263" t="s">
        <v>213</v>
      </c>
      <c r="G51" s="1">
        <v>93</v>
      </c>
      <c r="H51" s="263">
        <v>44</v>
      </c>
      <c r="I51" s="263">
        <v>531</v>
      </c>
      <c r="J51" s="263">
        <v>11800</v>
      </c>
      <c r="K51" s="945">
        <v>8.2862523540489647E-2</v>
      </c>
      <c r="L51" s="989">
        <v>22.222222222222221</v>
      </c>
      <c r="AJ51" s="922"/>
      <c r="AK51" s="921"/>
      <c r="AL51" s="1"/>
      <c r="AM51" s="918"/>
      <c r="AN51" s="64"/>
      <c r="AO51" s="923"/>
      <c r="AQ51" s="934"/>
      <c r="AR51" s="921"/>
      <c r="AS51" s="1"/>
      <c r="AT51" s="918"/>
      <c r="AU51" s="64"/>
      <c r="AV51" s="923"/>
    </row>
    <row r="52" spans="1:48" ht="15.6" x14ac:dyDescent="0.3">
      <c r="A52" t="s">
        <v>349</v>
      </c>
      <c r="F52" s="263" t="s">
        <v>213</v>
      </c>
      <c r="G52" s="1">
        <v>81</v>
      </c>
      <c r="H52" s="263">
        <v>816</v>
      </c>
      <c r="I52" s="263">
        <v>35900</v>
      </c>
      <c r="J52" s="263">
        <v>188000</v>
      </c>
      <c r="K52" s="945">
        <v>2.2729805013927577E-2</v>
      </c>
      <c r="L52" s="945">
        <v>5.2367688022284122</v>
      </c>
      <c r="AJ52" s="922"/>
      <c r="AK52" s="921"/>
      <c r="AL52" s="1"/>
      <c r="AM52" s="918"/>
      <c r="AN52" s="64"/>
      <c r="AO52" s="923"/>
      <c r="AQ52" s="934"/>
      <c r="AR52" s="921"/>
      <c r="AS52" s="1"/>
      <c r="AT52" s="918"/>
      <c r="AU52" s="64"/>
      <c r="AV52" s="923"/>
    </row>
    <row r="53" spans="1:48" ht="15.6" x14ac:dyDescent="0.3">
      <c r="A53" t="s">
        <v>350</v>
      </c>
      <c r="F53" s="263" t="s">
        <v>213</v>
      </c>
      <c r="G53" s="1">
        <v>99</v>
      </c>
      <c r="H53" s="263">
        <v>1320</v>
      </c>
      <c r="I53" s="263">
        <v>39900</v>
      </c>
      <c r="J53" s="263">
        <v>192000</v>
      </c>
      <c r="K53" s="945">
        <v>3.308270676691729E-2</v>
      </c>
      <c r="L53" s="945">
        <v>4.8120300751879697</v>
      </c>
      <c r="AJ53" s="924"/>
      <c r="AK53" s="914"/>
      <c r="AL53" s="1"/>
      <c r="AM53" s="918"/>
      <c r="AN53" s="925"/>
      <c r="AO53" s="925"/>
      <c r="AQ53" s="927"/>
      <c r="AR53" s="914"/>
      <c r="AS53" s="1"/>
      <c r="AT53" s="918"/>
      <c r="AU53" s="925"/>
      <c r="AV53" s="925"/>
    </row>
    <row r="54" spans="1:48" ht="15.6" x14ac:dyDescent="0.3">
      <c r="A54" t="s">
        <v>351</v>
      </c>
      <c r="F54" s="263" t="s">
        <v>213</v>
      </c>
      <c r="G54" s="1">
        <v>36</v>
      </c>
      <c r="H54" s="263">
        <v>346</v>
      </c>
      <c r="I54" s="263">
        <v>7680</v>
      </c>
      <c r="J54" s="263">
        <v>25100</v>
      </c>
      <c r="K54" s="945">
        <v>4.5052083333333333E-2</v>
      </c>
      <c r="L54" s="945">
        <v>3.2682291666666665</v>
      </c>
      <c r="AJ54" s="922"/>
      <c r="AK54" s="921"/>
      <c r="AL54" s="1"/>
      <c r="AM54" s="918"/>
      <c r="AN54" s="64"/>
      <c r="AO54" s="923"/>
      <c r="AQ54" s="934"/>
      <c r="AR54" s="921"/>
      <c r="AS54" s="1"/>
      <c r="AT54" s="918"/>
      <c r="AU54" s="64"/>
      <c r="AV54" s="923"/>
    </row>
    <row r="55" spans="1:48" ht="15.6" x14ac:dyDescent="0.3">
      <c r="F55" s="263" t="s">
        <v>213</v>
      </c>
      <c r="G55" s="1">
        <v>43</v>
      </c>
      <c r="H55" s="263">
        <v>501</v>
      </c>
      <c r="I55" s="263">
        <v>40400</v>
      </c>
      <c r="J55" s="263">
        <v>35300</v>
      </c>
      <c r="K55" s="945">
        <v>1.2400990099009902E-2</v>
      </c>
      <c r="L55" s="945">
        <v>0.87376237623762376</v>
      </c>
      <c r="AJ55" s="924"/>
      <c r="AK55" s="921"/>
      <c r="AL55" s="1"/>
      <c r="AM55" s="918"/>
      <c r="AN55" s="923"/>
      <c r="AO55" s="925"/>
      <c r="AR55" s="921"/>
      <c r="AS55" s="1"/>
      <c r="AT55" s="918"/>
      <c r="AU55" s="923"/>
      <c r="AV55" s="925"/>
    </row>
    <row r="56" spans="1:48" ht="15.6" x14ac:dyDescent="0.3">
      <c r="A56" t="s">
        <v>352</v>
      </c>
      <c r="F56" s="263" t="s">
        <v>212</v>
      </c>
      <c r="G56" s="1">
        <v>157</v>
      </c>
      <c r="H56" s="263">
        <v>395</v>
      </c>
      <c r="I56" s="263">
        <v>54100</v>
      </c>
      <c r="J56" s="263">
        <v>78400</v>
      </c>
      <c r="K56" s="945">
        <v>7.3012939001848428E-3</v>
      </c>
      <c r="L56" s="945">
        <v>1.4491682070240295</v>
      </c>
      <c r="AJ56" s="922"/>
      <c r="AK56" s="921"/>
      <c r="AL56" s="1"/>
      <c r="AM56" s="919"/>
      <c r="AN56" s="923"/>
      <c r="AO56" s="923"/>
      <c r="AQ56" s="927"/>
      <c r="AR56" s="921"/>
      <c r="AS56" s="1"/>
      <c r="AT56" s="918"/>
      <c r="AU56" s="923"/>
      <c r="AV56" s="923"/>
    </row>
    <row r="57" spans="1:48" ht="15.6" x14ac:dyDescent="0.3">
      <c r="A57" t="s">
        <v>353</v>
      </c>
      <c r="F57" s="263" t="s">
        <v>213</v>
      </c>
      <c r="G57" s="1">
        <v>160</v>
      </c>
      <c r="H57" s="263">
        <v>2710</v>
      </c>
      <c r="I57" s="263">
        <v>67700</v>
      </c>
      <c r="J57" s="263">
        <v>158000</v>
      </c>
      <c r="K57" s="945">
        <v>4.0029542097488921E-2</v>
      </c>
      <c r="L57" s="945">
        <v>2.3338257016248152</v>
      </c>
      <c r="AJ57" s="924"/>
      <c r="AK57" s="914"/>
      <c r="AL57" s="1"/>
      <c r="AM57" s="919"/>
      <c r="AN57" s="923"/>
      <c r="AO57" s="923"/>
      <c r="AQ57" s="927"/>
      <c r="AR57" s="914"/>
      <c r="AS57" s="1"/>
      <c r="AT57" s="918"/>
      <c r="AU57" s="923"/>
      <c r="AV57" s="923"/>
    </row>
    <row r="58" spans="1:48" ht="15.6" x14ac:dyDescent="0.3">
      <c r="A58" t="s">
        <v>348</v>
      </c>
      <c r="F58" s="263" t="s">
        <v>212</v>
      </c>
      <c r="G58" s="1">
        <v>159</v>
      </c>
      <c r="H58" s="263">
        <v>1240</v>
      </c>
      <c r="I58" s="263">
        <v>82700</v>
      </c>
      <c r="J58" s="263">
        <v>195000</v>
      </c>
      <c r="K58" s="945">
        <v>1.4993954050785973E-2</v>
      </c>
      <c r="L58" s="945">
        <v>2.3579201934703748</v>
      </c>
      <c r="AJ58" s="922"/>
      <c r="AK58" s="921"/>
      <c r="AL58" s="1"/>
      <c r="AM58" s="918"/>
      <c r="AN58" s="64"/>
      <c r="AO58" s="923"/>
      <c r="AQ58" s="934"/>
      <c r="AR58" s="921"/>
      <c r="AS58" s="1"/>
      <c r="AT58" s="918"/>
      <c r="AU58" s="925"/>
      <c r="AV58" s="923"/>
    </row>
    <row r="59" spans="1:48" ht="15.6" x14ac:dyDescent="0.3">
      <c r="F59" s="263" t="s">
        <v>212</v>
      </c>
      <c r="G59" s="1">
        <v>29</v>
      </c>
      <c r="H59" s="263">
        <v>547</v>
      </c>
      <c r="I59" s="263">
        <v>50100</v>
      </c>
      <c r="J59" s="263">
        <v>11200</v>
      </c>
      <c r="K59" s="945">
        <v>1.091816367265469E-2</v>
      </c>
      <c r="L59" s="945">
        <v>0.22355289421157684</v>
      </c>
      <c r="AJ59" s="924"/>
      <c r="AK59" s="921"/>
      <c r="AL59" s="1"/>
      <c r="AM59" s="918"/>
      <c r="AN59" s="923"/>
      <c r="AO59" s="923"/>
      <c r="AQ59" s="927"/>
      <c r="AR59" s="921"/>
      <c r="AS59" s="1"/>
      <c r="AT59" s="918"/>
      <c r="AU59" s="923"/>
      <c r="AV59" s="923"/>
    </row>
    <row r="60" spans="1:48" ht="15.6" x14ac:dyDescent="0.3">
      <c r="F60" s="263" t="s">
        <v>212</v>
      </c>
      <c r="G60" s="1">
        <v>35</v>
      </c>
      <c r="H60" s="263">
        <v>683</v>
      </c>
      <c r="I60" s="263">
        <v>33600</v>
      </c>
      <c r="J60" s="263">
        <v>47700</v>
      </c>
      <c r="K60" s="945">
        <v>2.0327380952380951E-2</v>
      </c>
      <c r="L60" s="945">
        <v>1.4196428571428572</v>
      </c>
      <c r="AJ60" s="922"/>
      <c r="AK60" s="921"/>
      <c r="AL60" s="1"/>
      <c r="AM60" s="919"/>
      <c r="AN60" s="923"/>
      <c r="AO60" s="923"/>
      <c r="AQ60" s="934"/>
      <c r="AR60" s="921"/>
      <c r="AS60" s="1"/>
      <c r="AT60" s="918"/>
      <c r="AU60" s="64"/>
      <c r="AV60" s="923"/>
    </row>
    <row r="61" spans="1:48" ht="15.6" x14ac:dyDescent="0.3">
      <c r="F61" s="263" t="s">
        <v>212</v>
      </c>
      <c r="G61" s="1">
        <v>33</v>
      </c>
      <c r="H61" s="263">
        <v>803</v>
      </c>
      <c r="I61" s="263">
        <v>38700</v>
      </c>
      <c r="J61" s="263">
        <v>28300</v>
      </c>
      <c r="K61" s="945">
        <v>2.0749354005167957E-2</v>
      </c>
      <c r="L61" s="945">
        <v>0.73126614987080107</v>
      </c>
      <c r="AJ61" s="924"/>
      <c r="AK61" s="921"/>
      <c r="AL61" s="1"/>
      <c r="AM61" s="919"/>
      <c r="AN61" s="925"/>
      <c r="AO61" s="925"/>
      <c r="AQ61" s="927"/>
      <c r="AR61" s="921"/>
      <c r="AS61" s="1"/>
      <c r="AT61" s="918"/>
      <c r="AU61" s="925"/>
      <c r="AV61" s="925"/>
    </row>
    <row r="62" spans="1:48" ht="15.6" x14ac:dyDescent="0.3">
      <c r="F62" s="263" t="s">
        <v>212</v>
      </c>
      <c r="G62" s="1">
        <v>31</v>
      </c>
      <c r="H62" s="263">
        <v>786</v>
      </c>
      <c r="I62" s="263">
        <v>46200</v>
      </c>
      <c r="J62" s="263">
        <v>96100</v>
      </c>
      <c r="K62" s="945">
        <v>1.7012987012987014E-2</v>
      </c>
      <c r="L62" s="945">
        <v>2.0800865800865802</v>
      </c>
      <c r="AJ62" s="922"/>
      <c r="AK62" s="926"/>
      <c r="AL62" s="1"/>
      <c r="AM62" s="918"/>
      <c r="AN62" s="64"/>
      <c r="AO62" s="923"/>
      <c r="AQ62" s="934"/>
      <c r="AR62" s="926"/>
      <c r="AS62" s="1"/>
      <c r="AT62" s="918"/>
      <c r="AU62" s="64"/>
      <c r="AV62" s="923"/>
    </row>
    <row r="63" spans="1:48" ht="15.6" x14ac:dyDescent="0.3">
      <c r="F63" s="263" t="s">
        <v>213</v>
      </c>
      <c r="G63" s="1">
        <v>34</v>
      </c>
      <c r="H63" s="263">
        <v>526</v>
      </c>
      <c r="I63" s="263">
        <v>23700</v>
      </c>
      <c r="J63" s="263">
        <v>42700</v>
      </c>
      <c r="K63" s="945">
        <v>2.2194092827004221E-2</v>
      </c>
      <c r="L63" s="945">
        <v>1.8016877637130801</v>
      </c>
      <c r="AJ63" s="924"/>
      <c r="AK63" s="914"/>
      <c r="AL63" s="1"/>
      <c r="AM63" s="918"/>
      <c r="AN63" s="923"/>
      <c r="AO63" s="923"/>
      <c r="AQ63" s="927"/>
      <c r="AR63" s="914"/>
      <c r="AS63" s="1"/>
      <c r="AT63" s="918"/>
      <c r="AU63" s="923"/>
      <c r="AV63" s="923"/>
    </row>
    <row r="64" spans="1:48" ht="15.6" x14ac:dyDescent="0.3">
      <c r="F64" s="263" t="s">
        <v>213</v>
      </c>
      <c r="G64" s="1">
        <v>40</v>
      </c>
      <c r="H64" s="263">
        <v>879</v>
      </c>
      <c r="I64" s="263">
        <v>22800</v>
      </c>
      <c r="J64" s="263">
        <v>146000</v>
      </c>
      <c r="K64" s="945">
        <v>3.8552631578947366E-2</v>
      </c>
      <c r="L64" s="945">
        <v>6.4035087719298245</v>
      </c>
      <c r="AJ64" s="922"/>
      <c r="AK64" s="921"/>
      <c r="AL64" s="1"/>
      <c r="AM64" s="919"/>
      <c r="AN64" s="923"/>
      <c r="AO64" s="923"/>
      <c r="AQ64" s="934"/>
      <c r="AR64" s="921"/>
      <c r="AS64" s="1"/>
      <c r="AT64" s="918"/>
      <c r="AU64" s="923"/>
      <c r="AV64" s="923"/>
    </row>
    <row r="65" spans="1:1023 1025:2047 2049:3071 3073:4095 4097:5119 5121:6143 6145:7167 7169:8191 8193:9215 9217:10239 10241:11263 11265:12287 12289:13311 13313:14335 14337:15359 15361:16383" ht="15.6" x14ac:dyDescent="0.3">
      <c r="F65" s="263" t="s">
        <v>212</v>
      </c>
      <c r="G65" s="1">
        <v>153</v>
      </c>
      <c r="H65" s="263">
        <v>1120</v>
      </c>
      <c r="I65" s="263">
        <v>64300</v>
      </c>
      <c r="J65" s="263">
        <v>202000</v>
      </c>
      <c r="K65" s="945">
        <v>1.7418351477449457E-2</v>
      </c>
      <c r="L65" s="945">
        <v>3.1415241057542769</v>
      </c>
      <c r="AJ65" s="924"/>
      <c r="AK65" s="921"/>
      <c r="AL65" s="1"/>
      <c r="AM65" s="919"/>
      <c r="AN65" s="923"/>
      <c r="AO65" s="923"/>
      <c r="AQ65" s="927"/>
      <c r="AR65" s="921"/>
      <c r="AS65" s="1"/>
      <c r="AT65" s="918"/>
      <c r="AU65" s="923"/>
      <c r="AV65" s="923"/>
    </row>
    <row r="66" spans="1:1023 1025:2047 2049:3071 3073:4095 4097:5119 5121:6143 6145:7167 7169:8191 8193:9215 9217:10239 10241:11263 11265:12287 12289:13311 13313:14335 14337:15359 15361:16383" ht="15.6" x14ac:dyDescent="0.3">
      <c r="F66" s="263" t="s">
        <v>213</v>
      </c>
      <c r="G66" s="1">
        <v>158</v>
      </c>
      <c r="H66" s="263">
        <v>636</v>
      </c>
      <c r="I66" s="263">
        <v>26300</v>
      </c>
      <c r="J66" s="263">
        <v>81400</v>
      </c>
      <c r="K66" s="945">
        <v>2.4182509505703421E-2</v>
      </c>
      <c r="L66" s="945">
        <v>3.0950570342205324</v>
      </c>
      <c r="AJ66" s="922"/>
      <c r="AK66" s="926"/>
      <c r="AL66" s="1"/>
      <c r="AM66" s="918"/>
      <c r="AN66" s="64"/>
      <c r="AO66" s="923"/>
      <c r="AQ66" s="934"/>
      <c r="AR66" s="926"/>
      <c r="AS66" s="1"/>
      <c r="AT66" s="918"/>
      <c r="AU66" s="64"/>
      <c r="AV66" s="923"/>
    </row>
    <row r="67" spans="1:1023 1025:2047 2049:3071 3073:4095 4097:5119 5121:6143 6145:7167 7169:8191 8193:9215 9217:10239 10241:11263 11265:12287 12289:13311 13313:14335 14337:15359 15361:16383" ht="15.6" x14ac:dyDescent="0.3">
      <c r="F67" s="263" t="s">
        <v>213</v>
      </c>
      <c r="G67" s="1">
        <v>156</v>
      </c>
      <c r="H67" s="263">
        <v>383</v>
      </c>
      <c r="I67" s="263">
        <v>49500</v>
      </c>
      <c r="J67" s="263">
        <v>89000</v>
      </c>
      <c r="K67" s="945">
        <v>7.7373737373737372E-3</v>
      </c>
      <c r="L67" s="945">
        <v>1.797979797979798</v>
      </c>
      <c r="AJ67" s="924"/>
      <c r="AK67" s="914"/>
      <c r="AL67" s="1"/>
      <c r="AM67" s="918"/>
      <c r="AN67" s="925"/>
      <c r="AO67" s="925"/>
      <c r="AQ67" s="927"/>
      <c r="AR67" s="914"/>
      <c r="AS67" s="1"/>
      <c r="AT67" s="918"/>
      <c r="AU67" s="925"/>
      <c r="AV67" s="925"/>
    </row>
    <row r="68" spans="1:1023 1025:2047 2049:3071 3073:4095 4097:5119 5121:6143 6145:7167 7169:8191 8193:9215 9217:10239 10241:11263 11265:12287 12289:13311 13313:14335 14337:15359 15361:16383" x14ac:dyDescent="0.25">
      <c r="A68" s="55"/>
      <c r="C68" s="55"/>
      <c r="E68" s="55"/>
      <c r="G68" s="55"/>
      <c r="I68" s="55"/>
      <c r="J68" s="996" t="s">
        <v>265</v>
      </c>
      <c r="K68" s="997">
        <f>AVERAGE(K43:K45,K47,K50,K56,K58:K61,K62,K65)</f>
        <v>1.8277987951570634E-2</v>
      </c>
      <c r="L68" s="997">
        <f>AVERAGE(L43:L45,L47,L50,L56,L58:L61,L62,L65)</f>
        <v>1.9737783864239706</v>
      </c>
      <c r="M68" s="55"/>
      <c r="O68" s="55"/>
      <c r="Q68" s="55"/>
      <c r="S68" s="55"/>
      <c r="U68" s="55"/>
      <c r="W68" s="55"/>
      <c r="Y68" s="55"/>
      <c r="AA68" s="55"/>
      <c r="AC68" s="55"/>
      <c r="AE68" s="55"/>
      <c r="AG68" s="55"/>
      <c r="AI68" s="55"/>
      <c r="AK68" s="55"/>
      <c r="AM68" s="55"/>
      <c r="AO68" s="55"/>
      <c r="AQ68" s="55"/>
      <c r="AS68" s="55"/>
      <c r="AU68" s="55"/>
      <c r="AW68" s="55"/>
      <c r="AY68" s="55"/>
      <c r="BA68" s="55"/>
      <c r="BC68" s="55"/>
      <c r="BE68" s="55"/>
      <c r="BG68" s="55"/>
      <c r="BI68" s="55"/>
      <c r="BK68" s="55"/>
      <c r="BM68" s="55"/>
      <c r="BO68" s="55"/>
      <c r="BQ68" s="55"/>
      <c r="BS68" s="55"/>
      <c r="BU68" s="55"/>
      <c r="BW68" s="55"/>
      <c r="BY68" s="55"/>
      <c r="CA68" s="55"/>
      <c r="CC68" s="55"/>
      <c r="CE68" s="55"/>
      <c r="CG68" s="55"/>
      <c r="CI68" s="55"/>
      <c r="CK68" s="55"/>
      <c r="CM68" s="55"/>
      <c r="CO68" s="55"/>
      <c r="CQ68" s="55"/>
      <c r="CS68" s="55"/>
      <c r="CU68" s="55"/>
      <c r="CW68" s="55"/>
      <c r="CY68" s="55"/>
      <c r="DA68" s="55"/>
      <c r="DC68" s="55"/>
      <c r="DE68" s="55"/>
      <c r="DG68" s="55"/>
      <c r="DI68" s="55"/>
      <c r="DK68" s="55"/>
      <c r="DM68" s="55"/>
      <c r="DO68" s="55"/>
      <c r="DQ68" s="55"/>
      <c r="DS68" s="55"/>
      <c r="DU68" s="55"/>
      <c r="DW68" s="55"/>
      <c r="DY68" s="55"/>
      <c r="EA68" s="55"/>
      <c r="EC68" s="55"/>
      <c r="EE68" s="55"/>
      <c r="EG68" s="55"/>
      <c r="EI68" s="55"/>
      <c r="EK68" s="55"/>
      <c r="EM68" s="55"/>
      <c r="EO68" s="55"/>
      <c r="EQ68" s="55"/>
      <c r="ES68" s="55"/>
      <c r="EU68" s="55"/>
      <c r="EW68" s="55"/>
      <c r="EY68" s="55"/>
      <c r="FA68" s="55"/>
      <c r="FC68" s="55"/>
      <c r="FE68" s="55"/>
      <c r="FG68" s="55"/>
      <c r="FI68" s="55"/>
      <c r="FK68" s="55"/>
      <c r="FM68" s="55"/>
      <c r="FO68" s="55"/>
      <c r="FQ68" s="55"/>
      <c r="FS68" s="55"/>
      <c r="FU68" s="55"/>
      <c r="FW68" s="55"/>
      <c r="FY68" s="55"/>
      <c r="GA68" s="55"/>
      <c r="GC68" s="55"/>
      <c r="GE68" s="55"/>
      <c r="GG68" s="55"/>
      <c r="GI68" s="55"/>
      <c r="GK68" s="55"/>
      <c r="GM68" s="55"/>
      <c r="GO68" s="55"/>
      <c r="GQ68" s="55"/>
      <c r="GS68" s="55"/>
      <c r="GU68" s="55"/>
      <c r="GW68" s="55"/>
      <c r="GY68" s="55"/>
      <c r="HA68" s="55"/>
      <c r="HC68" s="55"/>
      <c r="HE68" s="55"/>
      <c r="HG68" s="55"/>
      <c r="HI68" s="55"/>
      <c r="HK68" s="55"/>
      <c r="HM68" s="55"/>
      <c r="HO68" s="55"/>
      <c r="HQ68" s="55"/>
      <c r="HS68" s="55"/>
      <c r="HU68" s="55"/>
      <c r="HW68" s="55"/>
      <c r="HY68" s="55"/>
      <c r="IA68" s="55"/>
      <c r="IC68" s="55"/>
      <c r="IE68" s="55"/>
      <c r="IG68" s="55"/>
      <c r="II68" s="55"/>
      <c r="IK68" s="55"/>
      <c r="IM68" s="55"/>
      <c r="IO68" s="55"/>
      <c r="IQ68" s="55"/>
      <c r="IS68" s="55"/>
      <c r="IU68" s="55"/>
      <c r="IW68" s="55"/>
      <c r="IY68" s="55"/>
      <c r="JA68" s="55"/>
      <c r="JC68" s="55"/>
      <c r="JE68" s="55"/>
      <c r="JG68" s="55"/>
      <c r="JI68" s="55"/>
      <c r="JK68" s="55"/>
      <c r="JM68" s="55"/>
      <c r="JO68" s="55"/>
      <c r="JQ68" s="55"/>
      <c r="JS68" s="55"/>
      <c r="JU68" s="55"/>
      <c r="JW68" s="55"/>
      <c r="JY68" s="55"/>
      <c r="KA68" s="55"/>
      <c r="KC68" s="55"/>
      <c r="KE68" s="55"/>
      <c r="KG68" s="55"/>
      <c r="KI68" s="55"/>
      <c r="KK68" s="55"/>
      <c r="KM68" s="55"/>
      <c r="KO68" s="55"/>
      <c r="KQ68" s="55"/>
      <c r="KS68" s="55"/>
      <c r="KU68" s="55"/>
      <c r="KW68" s="55"/>
      <c r="KY68" s="55"/>
      <c r="LA68" s="55"/>
      <c r="LC68" s="55"/>
      <c r="LE68" s="55"/>
      <c r="LG68" s="55"/>
      <c r="LI68" s="55"/>
      <c r="LK68" s="55"/>
      <c r="LM68" s="55"/>
      <c r="LO68" s="55"/>
      <c r="LQ68" s="55"/>
      <c r="LS68" s="55"/>
      <c r="LU68" s="55"/>
      <c r="LW68" s="55"/>
      <c r="LY68" s="55"/>
      <c r="MA68" s="55"/>
      <c r="MC68" s="55"/>
      <c r="ME68" s="55"/>
      <c r="MG68" s="55"/>
      <c r="MI68" s="55"/>
      <c r="MK68" s="55"/>
      <c r="MM68" s="55"/>
      <c r="MO68" s="55"/>
      <c r="MQ68" s="55"/>
      <c r="MS68" s="55"/>
      <c r="MU68" s="55"/>
      <c r="MW68" s="55"/>
      <c r="MY68" s="55"/>
      <c r="NA68" s="55"/>
      <c r="NC68" s="55"/>
      <c r="NE68" s="55"/>
      <c r="NG68" s="55"/>
      <c r="NI68" s="55"/>
      <c r="NK68" s="55"/>
      <c r="NM68" s="55"/>
      <c r="NO68" s="55"/>
      <c r="NQ68" s="55"/>
      <c r="NS68" s="55"/>
      <c r="NU68" s="55"/>
      <c r="NW68" s="55"/>
      <c r="NY68" s="55"/>
      <c r="OA68" s="55"/>
      <c r="OC68" s="55"/>
      <c r="OE68" s="55"/>
      <c r="OG68" s="55"/>
      <c r="OI68" s="55"/>
      <c r="OK68" s="55"/>
      <c r="OM68" s="55"/>
      <c r="OO68" s="55"/>
      <c r="OQ68" s="55"/>
      <c r="OS68" s="55"/>
      <c r="OU68" s="55"/>
      <c r="OW68" s="55"/>
      <c r="OY68" s="55"/>
      <c r="PA68" s="55"/>
      <c r="PC68" s="55"/>
      <c r="PE68" s="55"/>
      <c r="PG68" s="55"/>
      <c r="PI68" s="55"/>
      <c r="PK68" s="55"/>
      <c r="PM68" s="55"/>
      <c r="PO68" s="55"/>
      <c r="PQ68" s="55"/>
      <c r="PS68" s="55"/>
      <c r="PU68" s="55"/>
      <c r="PW68" s="55"/>
      <c r="PY68" s="55"/>
      <c r="QA68" s="55"/>
      <c r="QC68" s="55"/>
      <c r="QE68" s="55"/>
      <c r="QG68" s="55"/>
      <c r="QI68" s="55"/>
      <c r="QK68" s="55"/>
      <c r="QM68" s="55"/>
      <c r="QO68" s="55"/>
      <c r="QQ68" s="55"/>
      <c r="QS68" s="55"/>
      <c r="QU68" s="55"/>
      <c r="QW68" s="55"/>
      <c r="QY68" s="55"/>
      <c r="RA68" s="55"/>
      <c r="RC68" s="55"/>
      <c r="RE68" s="55"/>
      <c r="RG68" s="55"/>
      <c r="RI68" s="55"/>
      <c r="RK68" s="55"/>
      <c r="RM68" s="55"/>
      <c r="RO68" s="55"/>
      <c r="RQ68" s="55"/>
      <c r="RS68" s="55"/>
      <c r="RU68" s="55"/>
      <c r="RW68" s="55"/>
      <c r="RY68" s="55"/>
      <c r="SA68" s="55"/>
      <c r="SC68" s="55"/>
      <c r="SE68" s="55"/>
      <c r="SG68" s="55"/>
      <c r="SI68" s="55"/>
      <c r="SK68" s="55"/>
      <c r="SM68" s="55"/>
      <c r="SO68" s="55"/>
      <c r="SQ68" s="55"/>
      <c r="SS68" s="55"/>
      <c r="SU68" s="55"/>
      <c r="SW68" s="55"/>
      <c r="SY68" s="55"/>
      <c r="TA68" s="55"/>
      <c r="TC68" s="55"/>
      <c r="TE68" s="55"/>
      <c r="TG68" s="55"/>
      <c r="TI68" s="55"/>
      <c r="TK68" s="55"/>
      <c r="TM68" s="55"/>
      <c r="TO68" s="55"/>
      <c r="TQ68" s="55"/>
      <c r="TS68" s="55"/>
      <c r="TU68" s="55"/>
      <c r="TW68" s="55"/>
      <c r="TY68" s="55"/>
      <c r="UA68" s="55"/>
      <c r="UC68" s="55"/>
      <c r="UE68" s="55"/>
      <c r="UG68" s="55"/>
      <c r="UI68" s="55"/>
      <c r="UK68" s="55"/>
      <c r="UM68" s="55"/>
      <c r="UO68" s="55"/>
      <c r="UQ68" s="55"/>
      <c r="US68" s="55"/>
      <c r="UU68" s="55"/>
      <c r="UW68" s="55"/>
      <c r="UY68" s="55"/>
      <c r="VA68" s="55"/>
      <c r="VC68" s="55"/>
      <c r="VE68" s="55"/>
      <c r="VG68" s="55"/>
      <c r="VI68" s="55"/>
      <c r="VK68" s="55"/>
      <c r="VM68" s="55"/>
      <c r="VO68" s="55"/>
      <c r="VQ68" s="55"/>
      <c r="VS68" s="55"/>
      <c r="VU68" s="55"/>
      <c r="VW68" s="55"/>
      <c r="VY68" s="55"/>
      <c r="WA68" s="55"/>
      <c r="WC68" s="55"/>
      <c r="WE68" s="55"/>
      <c r="WG68" s="55"/>
      <c r="WI68" s="55"/>
      <c r="WK68" s="55"/>
      <c r="WM68" s="55"/>
      <c r="WO68" s="55"/>
      <c r="WQ68" s="55"/>
      <c r="WS68" s="55"/>
      <c r="WU68" s="55"/>
      <c r="WW68" s="55"/>
      <c r="WY68" s="55"/>
      <c r="XA68" s="55"/>
      <c r="XC68" s="55"/>
      <c r="XE68" s="55"/>
      <c r="XG68" s="55"/>
      <c r="XI68" s="55"/>
      <c r="XK68" s="55"/>
      <c r="XM68" s="55"/>
      <c r="XO68" s="55"/>
      <c r="XQ68" s="55"/>
      <c r="XS68" s="55"/>
      <c r="XU68" s="55"/>
      <c r="XW68" s="55"/>
      <c r="XY68" s="55"/>
      <c r="YA68" s="55"/>
      <c r="YC68" s="55"/>
      <c r="YE68" s="55"/>
      <c r="YG68" s="55"/>
      <c r="YI68" s="55"/>
      <c r="YK68" s="55"/>
      <c r="YM68" s="55"/>
      <c r="YO68" s="55"/>
      <c r="YQ68" s="55"/>
      <c r="YS68" s="55"/>
      <c r="YU68" s="55"/>
      <c r="YW68" s="55"/>
      <c r="YY68" s="55"/>
      <c r="ZA68" s="55"/>
      <c r="ZC68" s="55"/>
      <c r="ZE68" s="55"/>
      <c r="ZG68" s="55"/>
      <c r="ZI68" s="55"/>
      <c r="ZK68" s="55"/>
      <c r="ZM68" s="55"/>
      <c r="ZO68" s="55"/>
      <c r="ZQ68" s="55"/>
      <c r="ZS68" s="55"/>
      <c r="ZU68" s="55"/>
      <c r="ZW68" s="55"/>
      <c r="ZY68" s="55"/>
      <c r="AAA68" s="55"/>
      <c r="AAC68" s="55"/>
      <c r="AAE68" s="55"/>
      <c r="AAG68" s="55"/>
      <c r="AAI68" s="55"/>
      <c r="AAK68" s="55"/>
      <c r="AAM68" s="55"/>
      <c r="AAO68" s="55"/>
      <c r="AAQ68" s="55"/>
      <c r="AAS68" s="55"/>
      <c r="AAU68" s="55"/>
      <c r="AAW68" s="55"/>
      <c r="AAY68" s="55"/>
      <c r="ABA68" s="55"/>
      <c r="ABC68" s="55"/>
      <c r="ABE68" s="55"/>
      <c r="ABG68" s="55"/>
      <c r="ABI68" s="55"/>
      <c r="ABK68" s="55"/>
      <c r="ABM68" s="55"/>
      <c r="ABO68" s="55"/>
      <c r="ABQ68" s="55"/>
      <c r="ABS68" s="55"/>
      <c r="ABU68" s="55"/>
      <c r="ABW68" s="55"/>
      <c r="ABY68" s="55"/>
      <c r="ACA68" s="55"/>
      <c r="ACC68" s="55"/>
      <c r="ACE68" s="55"/>
      <c r="ACG68" s="55"/>
      <c r="ACI68" s="55"/>
      <c r="ACK68" s="55"/>
      <c r="ACM68" s="55"/>
      <c r="ACO68" s="55"/>
      <c r="ACQ68" s="55"/>
      <c r="ACS68" s="55"/>
      <c r="ACU68" s="55"/>
      <c r="ACW68" s="55"/>
      <c r="ACY68" s="55"/>
      <c r="ADA68" s="55"/>
      <c r="ADC68" s="55"/>
      <c r="ADE68" s="55"/>
      <c r="ADG68" s="55"/>
      <c r="ADI68" s="55"/>
      <c r="ADK68" s="55"/>
      <c r="ADM68" s="55"/>
      <c r="ADO68" s="55"/>
      <c r="ADQ68" s="55"/>
      <c r="ADS68" s="55"/>
      <c r="ADU68" s="55"/>
      <c r="ADW68" s="55"/>
      <c r="ADY68" s="55"/>
      <c r="AEA68" s="55"/>
      <c r="AEC68" s="55"/>
      <c r="AEE68" s="55"/>
      <c r="AEG68" s="55"/>
      <c r="AEI68" s="55"/>
      <c r="AEK68" s="55"/>
      <c r="AEM68" s="55"/>
      <c r="AEO68" s="55"/>
      <c r="AEQ68" s="55"/>
      <c r="AES68" s="55"/>
      <c r="AEU68" s="55"/>
      <c r="AEW68" s="55"/>
      <c r="AEY68" s="55"/>
      <c r="AFA68" s="55"/>
      <c r="AFC68" s="55"/>
      <c r="AFE68" s="55"/>
      <c r="AFG68" s="55"/>
      <c r="AFI68" s="55"/>
      <c r="AFK68" s="55"/>
      <c r="AFM68" s="55"/>
      <c r="AFO68" s="55"/>
      <c r="AFQ68" s="55"/>
      <c r="AFS68" s="55"/>
      <c r="AFU68" s="55"/>
      <c r="AFW68" s="55"/>
      <c r="AFY68" s="55"/>
      <c r="AGA68" s="55"/>
      <c r="AGC68" s="55"/>
      <c r="AGE68" s="55"/>
      <c r="AGG68" s="55"/>
      <c r="AGI68" s="55"/>
      <c r="AGK68" s="55"/>
      <c r="AGM68" s="55"/>
      <c r="AGO68" s="55"/>
      <c r="AGQ68" s="55"/>
      <c r="AGS68" s="55"/>
      <c r="AGU68" s="55"/>
      <c r="AGW68" s="55"/>
      <c r="AGY68" s="55"/>
      <c r="AHA68" s="55"/>
      <c r="AHC68" s="55"/>
      <c r="AHE68" s="55"/>
      <c r="AHG68" s="55"/>
      <c r="AHI68" s="55"/>
      <c r="AHK68" s="55"/>
      <c r="AHM68" s="55"/>
      <c r="AHO68" s="55"/>
      <c r="AHQ68" s="55"/>
      <c r="AHS68" s="55"/>
      <c r="AHU68" s="55"/>
      <c r="AHW68" s="55"/>
      <c r="AHY68" s="55"/>
      <c r="AIA68" s="55"/>
      <c r="AIC68" s="55"/>
      <c r="AIE68" s="55"/>
      <c r="AIG68" s="55"/>
      <c r="AII68" s="55"/>
      <c r="AIK68" s="55"/>
      <c r="AIM68" s="55"/>
      <c r="AIO68" s="55"/>
      <c r="AIQ68" s="55"/>
      <c r="AIS68" s="55"/>
      <c r="AIU68" s="55"/>
      <c r="AIW68" s="55"/>
      <c r="AIY68" s="55"/>
      <c r="AJA68" s="55"/>
      <c r="AJC68" s="55"/>
      <c r="AJE68" s="55"/>
      <c r="AJG68" s="55"/>
      <c r="AJI68" s="55"/>
      <c r="AJK68" s="55"/>
      <c r="AJM68" s="55"/>
      <c r="AJO68" s="55"/>
      <c r="AJQ68" s="55"/>
      <c r="AJS68" s="55"/>
      <c r="AJU68" s="55"/>
      <c r="AJW68" s="55"/>
      <c r="AJY68" s="55"/>
      <c r="AKA68" s="55"/>
      <c r="AKC68" s="55"/>
      <c r="AKE68" s="55"/>
      <c r="AKG68" s="55"/>
      <c r="AKI68" s="55"/>
      <c r="AKK68" s="55"/>
      <c r="AKM68" s="55"/>
      <c r="AKO68" s="55"/>
      <c r="AKQ68" s="55"/>
      <c r="AKS68" s="55"/>
      <c r="AKU68" s="55"/>
      <c r="AKW68" s="55"/>
      <c r="AKY68" s="55"/>
      <c r="ALA68" s="55"/>
      <c r="ALC68" s="55"/>
      <c r="ALE68" s="55"/>
      <c r="ALG68" s="55"/>
      <c r="ALI68" s="55"/>
      <c r="ALK68" s="55"/>
      <c r="ALM68" s="55"/>
      <c r="ALO68" s="55"/>
      <c r="ALQ68" s="55"/>
      <c r="ALS68" s="55"/>
      <c r="ALU68" s="55"/>
      <c r="ALW68" s="55"/>
      <c r="ALY68" s="55"/>
      <c r="AMA68" s="55"/>
      <c r="AMC68" s="55"/>
      <c r="AME68" s="55"/>
      <c r="AMG68" s="55"/>
      <c r="AMI68" s="55"/>
      <c r="AMK68" s="55"/>
      <c r="AMM68" s="55"/>
      <c r="AMO68" s="55"/>
      <c r="AMQ68" s="55"/>
      <c r="AMS68" s="55"/>
      <c r="AMU68" s="55"/>
      <c r="AMW68" s="55"/>
      <c r="AMY68" s="55"/>
      <c r="ANA68" s="55"/>
      <c r="ANC68" s="55"/>
      <c r="ANE68" s="55"/>
      <c r="ANG68" s="55"/>
      <c r="ANI68" s="55"/>
      <c r="ANK68" s="55"/>
      <c r="ANM68" s="55"/>
      <c r="ANO68" s="55"/>
      <c r="ANQ68" s="55"/>
      <c r="ANS68" s="55"/>
      <c r="ANU68" s="55"/>
      <c r="ANW68" s="55"/>
      <c r="ANY68" s="55"/>
      <c r="AOA68" s="55"/>
      <c r="AOC68" s="55"/>
      <c r="AOE68" s="55"/>
      <c r="AOG68" s="55"/>
      <c r="AOI68" s="55"/>
      <c r="AOK68" s="55"/>
      <c r="AOM68" s="55"/>
      <c r="AOO68" s="55"/>
      <c r="AOQ68" s="55"/>
      <c r="AOS68" s="55"/>
      <c r="AOU68" s="55"/>
      <c r="AOW68" s="55"/>
      <c r="AOY68" s="55"/>
      <c r="APA68" s="55"/>
      <c r="APC68" s="55"/>
      <c r="APE68" s="55"/>
      <c r="APG68" s="55"/>
      <c r="API68" s="55"/>
      <c r="APK68" s="55"/>
      <c r="APM68" s="55"/>
      <c r="APO68" s="55"/>
      <c r="APQ68" s="55"/>
      <c r="APS68" s="55"/>
      <c r="APU68" s="55"/>
      <c r="APW68" s="55"/>
      <c r="APY68" s="55"/>
      <c r="AQA68" s="55"/>
      <c r="AQC68" s="55"/>
      <c r="AQE68" s="55"/>
      <c r="AQG68" s="55"/>
      <c r="AQI68" s="55"/>
      <c r="AQK68" s="55"/>
      <c r="AQM68" s="55"/>
      <c r="AQO68" s="55"/>
      <c r="AQQ68" s="55"/>
      <c r="AQS68" s="55"/>
      <c r="AQU68" s="55"/>
      <c r="AQW68" s="55"/>
      <c r="AQY68" s="55"/>
      <c r="ARA68" s="55"/>
      <c r="ARC68" s="55"/>
      <c r="ARE68" s="55"/>
      <c r="ARG68" s="55"/>
      <c r="ARI68" s="55"/>
      <c r="ARK68" s="55"/>
      <c r="ARM68" s="55"/>
      <c r="ARO68" s="55"/>
      <c r="ARQ68" s="55"/>
      <c r="ARS68" s="55"/>
      <c r="ARU68" s="55"/>
      <c r="ARW68" s="55"/>
      <c r="ARY68" s="55"/>
      <c r="ASA68" s="55"/>
      <c r="ASC68" s="55"/>
      <c r="ASE68" s="55"/>
      <c r="ASG68" s="55"/>
      <c r="ASI68" s="55"/>
      <c r="ASK68" s="55"/>
      <c r="ASM68" s="55"/>
      <c r="ASO68" s="55"/>
      <c r="ASQ68" s="55"/>
      <c r="ASS68" s="55"/>
      <c r="ASU68" s="55"/>
      <c r="ASW68" s="55"/>
      <c r="ASY68" s="55"/>
      <c r="ATA68" s="55"/>
      <c r="ATC68" s="55"/>
      <c r="ATE68" s="55"/>
      <c r="ATG68" s="55"/>
      <c r="ATI68" s="55"/>
      <c r="ATK68" s="55"/>
      <c r="ATM68" s="55"/>
      <c r="ATO68" s="55"/>
      <c r="ATQ68" s="55"/>
      <c r="ATS68" s="55"/>
      <c r="ATU68" s="55"/>
      <c r="ATW68" s="55"/>
      <c r="ATY68" s="55"/>
      <c r="AUA68" s="55"/>
      <c r="AUC68" s="55"/>
      <c r="AUE68" s="55"/>
      <c r="AUG68" s="55"/>
      <c r="AUI68" s="55"/>
      <c r="AUK68" s="55"/>
      <c r="AUM68" s="55"/>
      <c r="AUO68" s="55"/>
      <c r="AUQ68" s="55"/>
      <c r="AUS68" s="55"/>
      <c r="AUU68" s="55"/>
      <c r="AUW68" s="55"/>
      <c r="AUY68" s="55"/>
      <c r="AVA68" s="55"/>
      <c r="AVC68" s="55"/>
      <c r="AVE68" s="55"/>
      <c r="AVG68" s="55"/>
      <c r="AVI68" s="55"/>
      <c r="AVK68" s="55"/>
      <c r="AVM68" s="55"/>
      <c r="AVO68" s="55"/>
      <c r="AVQ68" s="55"/>
      <c r="AVS68" s="55"/>
      <c r="AVU68" s="55"/>
      <c r="AVW68" s="55"/>
      <c r="AVY68" s="55"/>
      <c r="AWA68" s="55"/>
      <c r="AWC68" s="55"/>
      <c r="AWE68" s="55"/>
      <c r="AWG68" s="55"/>
      <c r="AWI68" s="55"/>
      <c r="AWK68" s="55"/>
      <c r="AWM68" s="55"/>
      <c r="AWO68" s="55"/>
      <c r="AWQ68" s="55"/>
      <c r="AWS68" s="55"/>
      <c r="AWU68" s="55"/>
      <c r="AWW68" s="55"/>
      <c r="AWY68" s="55"/>
      <c r="AXA68" s="55"/>
      <c r="AXC68" s="55"/>
      <c r="AXE68" s="55"/>
      <c r="AXG68" s="55"/>
      <c r="AXI68" s="55"/>
      <c r="AXK68" s="55"/>
      <c r="AXM68" s="55"/>
      <c r="AXO68" s="55"/>
      <c r="AXQ68" s="55"/>
      <c r="AXS68" s="55"/>
      <c r="AXU68" s="55"/>
      <c r="AXW68" s="55"/>
      <c r="AXY68" s="55"/>
      <c r="AYA68" s="55"/>
      <c r="AYC68" s="55"/>
      <c r="AYE68" s="55"/>
      <c r="AYG68" s="55"/>
      <c r="AYI68" s="55"/>
      <c r="AYK68" s="55"/>
      <c r="AYM68" s="55"/>
      <c r="AYO68" s="55"/>
      <c r="AYQ68" s="55"/>
      <c r="AYS68" s="55"/>
      <c r="AYU68" s="55"/>
      <c r="AYW68" s="55"/>
      <c r="AYY68" s="55"/>
      <c r="AZA68" s="55"/>
      <c r="AZC68" s="55"/>
      <c r="AZE68" s="55"/>
      <c r="AZG68" s="55"/>
      <c r="AZI68" s="55"/>
      <c r="AZK68" s="55"/>
      <c r="AZM68" s="55"/>
      <c r="AZO68" s="55"/>
      <c r="AZQ68" s="55"/>
      <c r="AZS68" s="55"/>
      <c r="AZU68" s="55"/>
      <c r="AZW68" s="55"/>
      <c r="AZY68" s="55"/>
      <c r="BAA68" s="55"/>
      <c r="BAC68" s="55"/>
      <c r="BAE68" s="55"/>
      <c r="BAG68" s="55"/>
      <c r="BAI68" s="55"/>
      <c r="BAK68" s="55"/>
      <c r="BAM68" s="55"/>
      <c r="BAO68" s="55"/>
      <c r="BAQ68" s="55"/>
      <c r="BAS68" s="55"/>
      <c r="BAU68" s="55"/>
      <c r="BAW68" s="55"/>
      <c r="BAY68" s="55"/>
      <c r="BBA68" s="55"/>
      <c r="BBC68" s="55"/>
      <c r="BBE68" s="55"/>
      <c r="BBG68" s="55"/>
      <c r="BBI68" s="55"/>
      <c r="BBK68" s="55"/>
      <c r="BBM68" s="55"/>
      <c r="BBO68" s="55"/>
      <c r="BBQ68" s="55"/>
      <c r="BBS68" s="55"/>
      <c r="BBU68" s="55"/>
      <c r="BBW68" s="55"/>
      <c r="BBY68" s="55"/>
      <c r="BCA68" s="55"/>
      <c r="BCC68" s="55"/>
      <c r="BCE68" s="55"/>
      <c r="BCG68" s="55"/>
      <c r="BCI68" s="55"/>
      <c r="BCK68" s="55"/>
      <c r="BCM68" s="55"/>
      <c r="BCO68" s="55"/>
      <c r="BCQ68" s="55"/>
      <c r="BCS68" s="55"/>
      <c r="BCU68" s="55"/>
      <c r="BCW68" s="55"/>
      <c r="BCY68" s="55"/>
      <c r="BDA68" s="55"/>
      <c r="BDC68" s="55"/>
      <c r="BDE68" s="55"/>
      <c r="BDG68" s="55"/>
      <c r="BDI68" s="55"/>
      <c r="BDK68" s="55"/>
      <c r="BDM68" s="55"/>
      <c r="BDO68" s="55"/>
      <c r="BDQ68" s="55"/>
      <c r="BDS68" s="55"/>
      <c r="BDU68" s="55"/>
      <c r="BDW68" s="55"/>
      <c r="BDY68" s="55"/>
      <c r="BEA68" s="55"/>
      <c r="BEC68" s="55"/>
      <c r="BEE68" s="55"/>
      <c r="BEG68" s="55"/>
      <c r="BEI68" s="55"/>
      <c r="BEK68" s="55"/>
      <c r="BEM68" s="55"/>
      <c r="BEO68" s="55"/>
      <c r="BEQ68" s="55"/>
      <c r="BES68" s="55"/>
      <c r="BEU68" s="55"/>
      <c r="BEW68" s="55"/>
      <c r="BEY68" s="55"/>
      <c r="BFA68" s="55"/>
      <c r="BFC68" s="55"/>
      <c r="BFE68" s="55"/>
      <c r="BFG68" s="55"/>
      <c r="BFI68" s="55"/>
      <c r="BFK68" s="55"/>
      <c r="BFM68" s="55"/>
      <c r="BFO68" s="55"/>
      <c r="BFQ68" s="55"/>
      <c r="BFS68" s="55"/>
      <c r="BFU68" s="55"/>
      <c r="BFW68" s="55"/>
      <c r="BFY68" s="55"/>
      <c r="BGA68" s="55"/>
      <c r="BGC68" s="55"/>
      <c r="BGE68" s="55"/>
      <c r="BGG68" s="55"/>
      <c r="BGI68" s="55"/>
      <c r="BGK68" s="55"/>
      <c r="BGM68" s="55"/>
      <c r="BGO68" s="55"/>
      <c r="BGQ68" s="55"/>
      <c r="BGS68" s="55"/>
      <c r="BGU68" s="55"/>
      <c r="BGW68" s="55"/>
      <c r="BGY68" s="55"/>
      <c r="BHA68" s="55"/>
      <c r="BHC68" s="55"/>
      <c r="BHE68" s="55"/>
      <c r="BHG68" s="55"/>
      <c r="BHI68" s="55"/>
      <c r="BHK68" s="55"/>
      <c r="BHM68" s="55"/>
      <c r="BHO68" s="55"/>
      <c r="BHQ68" s="55"/>
      <c r="BHS68" s="55"/>
      <c r="BHU68" s="55"/>
      <c r="BHW68" s="55"/>
      <c r="BHY68" s="55"/>
      <c r="BIA68" s="55"/>
      <c r="BIC68" s="55"/>
      <c r="BIE68" s="55"/>
      <c r="BIG68" s="55"/>
      <c r="BII68" s="55"/>
      <c r="BIK68" s="55"/>
      <c r="BIM68" s="55"/>
      <c r="BIO68" s="55"/>
      <c r="BIQ68" s="55"/>
      <c r="BIS68" s="55"/>
      <c r="BIU68" s="55"/>
      <c r="BIW68" s="55"/>
      <c r="BIY68" s="55"/>
      <c r="BJA68" s="55"/>
      <c r="BJC68" s="55"/>
      <c r="BJE68" s="55"/>
      <c r="BJG68" s="55"/>
      <c r="BJI68" s="55"/>
      <c r="BJK68" s="55"/>
      <c r="BJM68" s="55"/>
      <c r="BJO68" s="55"/>
      <c r="BJQ68" s="55"/>
      <c r="BJS68" s="55"/>
      <c r="BJU68" s="55"/>
      <c r="BJW68" s="55"/>
      <c r="BJY68" s="55"/>
      <c r="BKA68" s="55"/>
      <c r="BKC68" s="55"/>
      <c r="BKE68" s="55"/>
      <c r="BKG68" s="55"/>
      <c r="BKI68" s="55"/>
      <c r="BKK68" s="55"/>
      <c r="BKM68" s="55"/>
      <c r="BKO68" s="55"/>
      <c r="BKQ68" s="55"/>
      <c r="BKS68" s="55"/>
      <c r="BKU68" s="55"/>
      <c r="BKW68" s="55"/>
      <c r="BKY68" s="55"/>
      <c r="BLA68" s="55"/>
      <c r="BLC68" s="55"/>
      <c r="BLE68" s="55"/>
      <c r="BLG68" s="55"/>
      <c r="BLI68" s="55"/>
      <c r="BLK68" s="55"/>
      <c r="BLM68" s="55"/>
      <c r="BLO68" s="55"/>
      <c r="BLQ68" s="55"/>
      <c r="BLS68" s="55"/>
      <c r="BLU68" s="55"/>
      <c r="BLW68" s="55"/>
      <c r="BLY68" s="55"/>
      <c r="BMA68" s="55"/>
      <c r="BMC68" s="55"/>
      <c r="BME68" s="55"/>
      <c r="BMG68" s="55"/>
      <c r="BMI68" s="55"/>
      <c r="BMK68" s="55"/>
      <c r="BMM68" s="55"/>
      <c r="BMO68" s="55"/>
      <c r="BMQ68" s="55"/>
      <c r="BMS68" s="55"/>
      <c r="BMU68" s="55"/>
      <c r="BMW68" s="55"/>
      <c r="BMY68" s="55"/>
      <c r="BNA68" s="55"/>
      <c r="BNC68" s="55"/>
      <c r="BNE68" s="55"/>
      <c r="BNG68" s="55"/>
      <c r="BNI68" s="55"/>
      <c r="BNK68" s="55"/>
      <c r="BNM68" s="55"/>
      <c r="BNO68" s="55"/>
      <c r="BNQ68" s="55"/>
      <c r="BNS68" s="55"/>
      <c r="BNU68" s="55"/>
      <c r="BNW68" s="55"/>
      <c r="BNY68" s="55"/>
      <c r="BOA68" s="55"/>
      <c r="BOC68" s="55"/>
      <c r="BOE68" s="55"/>
      <c r="BOG68" s="55"/>
      <c r="BOI68" s="55"/>
      <c r="BOK68" s="55"/>
      <c r="BOM68" s="55"/>
      <c r="BOO68" s="55"/>
      <c r="BOQ68" s="55"/>
      <c r="BOS68" s="55"/>
      <c r="BOU68" s="55"/>
      <c r="BOW68" s="55"/>
      <c r="BOY68" s="55"/>
      <c r="BPA68" s="55"/>
      <c r="BPC68" s="55"/>
      <c r="BPE68" s="55"/>
      <c r="BPG68" s="55"/>
      <c r="BPI68" s="55"/>
      <c r="BPK68" s="55"/>
      <c r="BPM68" s="55"/>
      <c r="BPO68" s="55"/>
      <c r="BPQ68" s="55"/>
      <c r="BPS68" s="55"/>
      <c r="BPU68" s="55"/>
      <c r="BPW68" s="55"/>
      <c r="BPY68" s="55"/>
      <c r="BQA68" s="55"/>
      <c r="BQC68" s="55"/>
      <c r="BQE68" s="55"/>
      <c r="BQG68" s="55"/>
      <c r="BQI68" s="55"/>
      <c r="BQK68" s="55"/>
      <c r="BQM68" s="55"/>
      <c r="BQO68" s="55"/>
      <c r="BQQ68" s="55"/>
      <c r="BQS68" s="55"/>
      <c r="BQU68" s="55"/>
      <c r="BQW68" s="55"/>
      <c r="BQY68" s="55"/>
      <c r="BRA68" s="55"/>
      <c r="BRC68" s="55"/>
      <c r="BRE68" s="55"/>
      <c r="BRG68" s="55"/>
      <c r="BRI68" s="55"/>
      <c r="BRK68" s="55"/>
      <c r="BRM68" s="55"/>
      <c r="BRO68" s="55"/>
      <c r="BRQ68" s="55"/>
      <c r="BRS68" s="55"/>
      <c r="BRU68" s="55"/>
      <c r="BRW68" s="55"/>
      <c r="BRY68" s="55"/>
      <c r="BSA68" s="55"/>
      <c r="BSC68" s="55"/>
      <c r="BSE68" s="55"/>
      <c r="BSG68" s="55"/>
      <c r="BSI68" s="55"/>
      <c r="BSK68" s="55"/>
      <c r="BSM68" s="55"/>
      <c r="BSO68" s="55"/>
      <c r="BSQ68" s="55"/>
      <c r="BSS68" s="55"/>
      <c r="BSU68" s="55"/>
      <c r="BSW68" s="55"/>
      <c r="BSY68" s="55"/>
      <c r="BTA68" s="55"/>
      <c r="BTC68" s="55"/>
      <c r="BTE68" s="55"/>
      <c r="BTG68" s="55"/>
      <c r="BTI68" s="55"/>
      <c r="BTK68" s="55"/>
      <c r="BTM68" s="55"/>
      <c r="BTO68" s="55"/>
      <c r="BTQ68" s="55"/>
      <c r="BTS68" s="55"/>
      <c r="BTU68" s="55"/>
      <c r="BTW68" s="55"/>
      <c r="BTY68" s="55"/>
      <c r="BUA68" s="55"/>
      <c r="BUC68" s="55"/>
      <c r="BUE68" s="55"/>
      <c r="BUG68" s="55"/>
      <c r="BUI68" s="55"/>
      <c r="BUK68" s="55"/>
      <c r="BUM68" s="55"/>
      <c r="BUO68" s="55"/>
      <c r="BUQ68" s="55"/>
      <c r="BUS68" s="55"/>
      <c r="BUU68" s="55"/>
      <c r="BUW68" s="55"/>
      <c r="BUY68" s="55"/>
      <c r="BVA68" s="55"/>
      <c r="BVC68" s="55"/>
      <c r="BVE68" s="55"/>
      <c r="BVG68" s="55"/>
      <c r="BVI68" s="55"/>
      <c r="BVK68" s="55"/>
      <c r="BVM68" s="55"/>
      <c r="BVO68" s="55"/>
      <c r="BVQ68" s="55"/>
      <c r="BVS68" s="55"/>
      <c r="BVU68" s="55"/>
      <c r="BVW68" s="55"/>
      <c r="BVY68" s="55"/>
      <c r="BWA68" s="55"/>
      <c r="BWC68" s="55"/>
      <c r="BWE68" s="55"/>
      <c r="BWG68" s="55"/>
      <c r="BWI68" s="55"/>
      <c r="BWK68" s="55"/>
      <c r="BWM68" s="55"/>
      <c r="BWO68" s="55"/>
      <c r="BWQ68" s="55"/>
      <c r="BWS68" s="55"/>
      <c r="BWU68" s="55"/>
      <c r="BWW68" s="55"/>
      <c r="BWY68" s="55"/>
      <c r="BXA68" s="55"/>
      <c r="BXC68" s="55"/>
      <c r="BXE68" s="55"/>
      <c r="BXG68" s="55"/>
      <c r="BXI68" s="55"/>
      <c r="BXK68" s="55"/>
      <c r="BXM68" s="55"/>
      <c r="BXO68" s="55"/>
      <c r="BXQ68" s="55"/>
      <c r="BXS68" s="55"/>
      <c r="BXU68" s="55"/>
      <c r="BXW68" s="55"/>
      <c r="BXY68" s="55"/>
      <c r="BYA68" s="55"/>
      <c r="BYC68" s="55"/>
      <c r="BYE68" s="55"/>
      <c r="BYG68" s="55"/>
      <c r="BYI68" s="55"/>
      <c r="BYK68" s="55"/>
      <c r="BYM68" s="55"/>
      <c r="BYO68" s="55"/>
      <c r="BYQ68" s="55"/>
      <c r="BYS68" s="55"/>
      <c r="BYU68" s="55"/>
      <c r="BYW68" s="55"/>
      <c r="BYY68" s="55"/>
      <c r="BZA68" s="55"/>
      <c r="BZC68" s="55"/>
      <c r="BZE68" s="55"/>
      <c r="BZG68" s="55"/>
      <c r="BZI68" s="55"/>
      <c r="BZK68" s="55"/>
      <c r="BZM68" s="55"/>
      <c r="BZO68" s="55"/>
      <c r="BZQ68" s="55"/>
      <c r="BZS68" s="55"/>
      <c r="BZU68" s="55"/>
      <c r="BZW68" s="55"/>
      <c r="BZY68" s="55"/>
      <c r="CAA68" s="55"/>
      <c r="CAC68" s="55"/>
      <c r="CAE68" s="55"/>
      <c r="CAG68" s="55"/>
      <c r="CAI68" s="55"/>
      <c r="CAK68" s="55"/>
      <c r="CAM68" s="55"/>
      <c r="CAO68" s="55"/>
      <c r="CAQ68" s="55"/>
      <c r="CAS68" s="55"/>
      <c r="CAU68" s="55"/>
      <c r="CAW68" s="55"/>
      <c r="CAY68" s="55"/>
      <c r="CBA68" s="55"/>
      <c r="CBC68" s="55"/>
      <c r="CBE68" s="55"/>
      <c r="CBG68" s="55"/>
      <c r="CBI68" s="55"/>
      <c r="CBK68" s="55"/>
      <c r="CBM68" s="55"/>
      <c r="CBO68" s="55"/>
      <c r="CBQ68" s="55"/>
      <c r="CBS68" s="55"/>
      <c r="CBU68" s="55"/>
      <c r="CBW68" s="55"/>
      <c r="CBY68" s="55"/>
      <c r="CCA68" s="55"/>
      <c r="CCC68" s="55"/>
      <c r="CCE68" s="55"/>
      <c r="CCG68" s="55"/>
      <c r="CCI68" s="55"/>
      <c r="CCK68" s="55"/>
      <c r="CCM68" s="55"/>
      <c r="CCO68" s="55"/>
      <c r="CCQ68" s="55"/>
      <c r="CCS68" s="55"/>
      <c r="CCU68" s="55"/>
      <c r="CCW68" s="55"/>
      <c r="CCY68" s="55"/>
      <c r="CDA68" s="55"/>
      <c r="CDC68" s="55"/>
      <c r="CDE68" s="55"/>
      <c r="CDG68" s="55"/>
      <c r="CDI68" s="55"/>
      <c r="CDK68" s="55"/>
      <c r="CDM68" s="55"/>
      <c r="CDO68" s="55"/>
      <c r="CDQ68" s="55"/>
      <c r="CDS68" s="55"/>
      <c r="CDU68" s="55"/>
      <c r="CDW68" s="55"/>
      <c r="CDY68" s="55"/>
      <c r="CEA68" s="55"/>
      <c r="CEC68" s="55"/>
      <c r="CEE68" s="55"/>
      <c r="CEG68" s="55"/>
      <c r="CEI68" s="55"/>
      <c r="CEK68" s="55"/>
      <c r="CEM68" s="55"/>
      <c r="CEO68" s="55"/>
      <c r="CEQ68" s="55"/>
      <c r="CES68" s="55"/>
      <c r="CEU68" s="55"/>
      <c r="CEW68" s="55"/>
      <c r="CEY68" s="55"/>
      <c r="CFA68" s="55"/>
      <c r="CFC68" s="55"/>
      <c r="CFE68" s="55"/>
      <c r="CFG68" s="55"/>
      <c r="CFI68" s="55"/>
      <c r="CFK68" s="55"/>
      <c r="CFM68" s="55"/>
      <c r="CFO68" s="55"/>
      <c r="CFQ68" s="55"/>
      <c r="CFS68" s="55"/>
      <c r="CFU68" s="55"/>
      <c r="CFW68" s="55"/>
      <c r="CFY68" s="55"/>
      <c r="CGA68" s="55"/>
      <c r="CGC68" s="55"/>
      <c r="CGE68" s="55"/>
      <c r="CGG68" s="55"/>
      <c r="CGI68" s="55"/>
      <c r="CGK68" s="55"/>
      <c r="CGM68" s="55"/>
      <c r="CGO68" s="55"/>
      <c r="CGQ68" s="55"/>
      <c r="CGS68" s="55"/>
      <c r="CGU68" s="55"/>
      <c r="CGW68" s="55"/>
      <c r="CGY68" s="55"/>
      <c r="CHA68" s="55"/>
      <c r="CHC68" s="55"/>
      <c r="CHE68" s="55"/>
      <c r="CHG68" s="55"/>
      <c r="CHI68" s="55"/>
      <c r="CHK68" s="55"/>
      <c r="CHM68" s="55"/>
      <c r="CHO68" s="55"/>
      <c r="CHQ68" s="55"/>
      <c r="CHS68" s="55"/>
      <c r="CHU68" s="55"/>
      <c r="CHW68" s="55"/>
      <c r="CHY68" s="55"/>
      <c r="CIA68" s="55"/>
      <c r="CIC68" s="55"/>
      <c r="CIE68" s="55"/>
      <c r="CIG68" s="55"/>
      <c r="CII68" s="55"/>
      <c r="CIK68" s="55"/>
      <c r="CIM68" s="55"/>
      <c r="CIO68" s="55"/>
      <c r="CIQ68" s="55"/>
      <c r="CIS68" s="55"/>
      <c r="CIU68" s="55"/>
      <c r="CIW68" s="55"/>
      <c r="CIY68" s="55"/>
      <c r="CJA68" s="55"/>
      <c r="CJC68" s="55"/>
      <c r="CJE68" s="55"/>
      <c r="CJG68" s="55"/>
      <c r="CJI68" s="55"/>
      <c r="CJK68" s="55"/>
      <c r="CJM68" s="55"/>
      <c r="CJO68" s="55"/>
      <c r="CJQ68" s="55"/>
      <c r="CJS68" s="55"/>
      <c r="CJU68" s="55"/>
      <c r="CJW68" s="55"/>
      <c r="CJY68" s="55"/>
      <c r="CKA68" s="55"/>
      <c r="CKC68" s="55"/>
      <c r="CKE68" s="55"/>
      <c r="CKG68" s="55"/>
      <c r="CKI68" s="55"/>
      <c r="CKK68" s="55"/>
      <c r="CKM68" s="55"/>
      <c r="CKO68" s="55"/>
      <c r="CKQ68" s="55"/>
      <c r="CKS68" s="55"/>
      <c r="CKU68" s="55"/>
      <c r="CKW68" s="55"/>
      <c r="CKY68" s="55"/>
      <c r="CLA68" s="55"/>
      <c r="CLC68" s="55"/>
      <c r="CLE68" s="55"/>
      <c r="CLG68" s="55"/>
      <c r="CLI68" s="55"/>
      <c r="CLK68" s="55"/>
      <c r="CLM68" s="55"/>
      <c r="CLO68" s="55"/>
      <c r="CLQ68" s="55"/>
      <c r="CLS68" s="55"/>
      <c r="CLU68" s="55"/>
      <c r="CLW68" s="55"/>
      <c r="CLY68" s="55"/>
      <c r="CMA68" s="55"/>
      <c r="CMC68" s="55"/>
      <c r="CME68" s="55"/>
      <c r="CMG68" s="55"/>
      <c r="CMI68" s="55"/>
      <c r="CMK68" s="55"/>
      <c r="CMM68" s="55"/>
      <c r="CMO68" s="55"/>
      <c r="CMQ68" s="55"/>
      <c r="CMS68" s="55"/>
      <c r="CMU68" s="55"/>
      <c r="CMW68" s="55"/>
      <c r="CMY68" s="55"/>
      <c r="CNA68" s="55"/>
      <c r="CNC68" s="55"/>
      <c r="CNE68" s="55"/>
      <c r="CNG68" s="55"/>
      <c r="CNI68" s="55"/>
      <c r="CNK68" s="55"/>
      <c r="CNM68" s="55"/>
      <c r="CNO68" s="55"/>
      <c r="CNQ68" s="55"/>
      <c r="CNS68" s="55"/>
      <c r="CNU68" s="55"/>
      <c r="CNW68" s="55"/>
      <c r="CNY68" s="55"/>
      <c r="COA68" s="55"/>
      <c r="COC68" s="55"/>
      <c r="COE68" s="55"/>
      <c r="COG68" s="55"/>
      <c r="COI68" s="55"/>
      <c r="COK68" s="55"/>
      <c r="COM68" s="55"/>
      <c r="COO68" s="55"/>
      <c r="COQ68" s="55"/>
      <c r="COS68" s="55"/>
      <c r="COU68" s="55"/>
      <c r="COW68" s="55"/>
      <c r="COY68" s="55"/>
      <c r="CPA68" s="55"/>
      <c r="CPC68" s="55"/>
      <c r="CPE68" s="55"/>
      <c r="CPG68" s="55"/>
      <c r="CPI68" s="55"/>
      <c r="CPK68" s="55"/>
      <c r="CPM68" s="55"/>
      <c r="CPO68" s="55"/>
      <c r="CPQ68" s="55"/>
      <c r="CPS68" s="55"/>
      <c r="CPU68" s="55"/>
      <c r="CPW68" s="55"/>
      <c r="CPY68" s="55"/>
      <c r="CQA68" s="55"/>
      <c r="CQC68" s="55"/>
      <c r="CQE68" s="55"/>
      <c r="CQG68" s="55"/>
      <c r="CQI68" s="55"/>
      <c r="CQK68" s="55"/>
      <c r="CQM68" s="55"/>
      <c r="CQO68" s="55"/>
      <c r="CQQ68" s="55"/>
      <c r="CQS68" s="55"/>
      <c r="CQU68" s="55"/>
      <c r="CQW68" s="55"/>
      <c r="CQY68" s="55"/>
      <c r="CRA68" s="55"/>
      <c r="CRC68" s="55"/>
      <c r="CRE68" s="55"/>
      <c r="CRG68" s="55"/>
      <c r="CRI68" s="55"/>
      <c r="CRK68" s="55"/>
      <c r="CRM68" s="55"/>
      <c r="CRO68" s="55"/>
      <c r="CRQ68" s="55"/>
      <c r="CRS68" s="55"/>
      <c r="CRU68" s="55"/>
      <c r="CRW68" s="55"/>
      <c r="CRY68" s="55"/>
      <c r="CSA68" s="55"/>
      <c r="CSC68" s="55"/>
      <c r="CSE68" s="55"/>
      <c r="CSG68" s="55"/>
      <c r="CSI68" s="55"/>
      <c r="CSK68" s="55"/>
      <c r="CSM68" s="55"/>
      <c r="CSO68" s="55"/>
      <c r="CSQ68" s="55"/>
      <c r="CSS68" s="55"/>
      <c r="CSU68" s="55"/>
      <c r="CSW68" s="55"/>
      <c r="CSY68" s="55"/>
      <c r="CTA68" s="55"/>
      <c r="CTC68" s="55"/>
      <c r="CTE68" s="55"/>
      <c r="CTG68" s="55"/>
      <c r="CTI68" s="55"/>
      <c r="CTK68" s="55"/>
      <c r="CTM68" s="55"/>
      <c r="CTO68" s="55"/>
      <c r="CTQ68" s="55"/>
      <c r="CTS68" s="55"/>
      <c r="CTU68" s="55"/>
      <c r="CTW68" s="55"/>
      <c r="CTY68" s="55"/>
      <c r="CUA68" s="55"/>
      <c r="CUC68" s="55"/>
      <c r="CUE68" s="55"/>
      <c r="CUG68" s="55"/>
      <c r="CUI68" s="55"/>
      <c r="CUK68" s="55"/>
      <c r="CUM68" s="55"/>
      <c r="CUO68" s="55"/>
      <c r="CUQ68" s="55"/>
      <c r="CUS68" s="55"/>
      <c r="CUU68" s="55"/>
      <c r="CUW68" s="55"/>
      <c r="CUY68" s="55"/>
      <c r="CVA68" s="55"/>
      <c r="CVC68" s="55"/>
      <c r="CVE68" s="55"/>
      <c r="CVG68" s="55"/>
      <c r="CVI68" s="55"/>
      <c r="CVK68" s="55"/>
      <c r="CVM68" s="55"/>
      <c r="CVO68" s="55"/>
      <c r="CVQ68" s="55"/>
      <c r="CVS68" s="55"/>
      <c r="CVU68" s="55"/>
      <c r="CVW68" s="55"/>
      <c r="CVY68" s="55"/>
      <c r="CWA68" s="55"/>
      <c r="CWC68" s="55"/>
      <c r="CWE68" s="55"/>
      <c r="CWG68" s="55"/>
      <c r="CWI68" s="55"/>
      <c r="CWK68" s="55"/>
      <c r="CWM68" s="55"/>
      <c r="CWO68" s="55"/>
      <c r="CWQ68" s="55"/>
      <c r="CWS68" s="55"/>
      <c r="CWU68" s="55"/>
      <c r="CWW68" s="55"/>
      <c r="CWY68" s="55"/>
      <c r="CXA68" s="55"/>
      <c r="CXC68" s="55"/>
      <c r="CXE68" s="55"/>
      <c r="CXG68" s="55"/>
      <c r="CXI68" s="55"/>
      <c r="CXK68" s="55"/>
      <c r="CXM68" s="55"/>
      <c r="CXO68" s="55"/>
      <c r="CXQ68" s="55"/>
      <c r="CXS68" s="55"/>
      <c r="CXU68" s="55"/>
      <c r="CXW68" s="55"/>
      <c r="CXY68" s="55"/>
      <c r="CYA68" s="55"/>
      <c r="CYC68" s="55"/>
      <c r="CYE68" s="55"/>
      <c r="CYG68" s="55"/>
      <c r="CYI68" s="55"/>
      <c r="CYK68" s="55"/>
      <c r="CYM68" s="55"/>
      <c r="CYO68" s="55"/>
      <c r="CYQ68" s="55"/>
      <c r="CYS68" s="55"/>
      <c r="CYU68" s="55"/>
      <c r="CYW68" s="55"/>
      <c r="CYY68" s="55"/>
      <c r="CZA68" s="55"/>
      <c r="CZC68" s="55"/>
      <c r="CZE68" s="55"/>
      <c r="CZG68" s="55"/>
      <c r="CZI68" s="55"/>
      <c r="CZK68" s="55"/>
      <c r="CZM68" s="55"/>
      <c r="CZO68" s="55"/>
      <c r="CZQ68" s="55"/>
      <c r="CZS68" s="55"/>
      <c r="CZU68" s="55"/>
      <c r="CZW68" s="55"/>
      <c r="CZY68" s="55"/>
      <c r="DAA68" s="55"/>
      <c r="DAC68" s="55"/>
      <c r="DAE68" s="55"/>
      <c r="DAG68" s="55"/>
      <c r="DAI68" s="55"/>
      <c r="DAK68" s="55"/>
      <c r="DAM68" s="55"/>
      <c r="DAO68" s="55"/>
      <c r="DAQ68" s="55"/>
      <c r="DAS68" s="55"/>
      <c r="DAU68" s="55"/>
      <c r="DAW68" s="55"/>
      <c r="DAY68" s="55"/>
      <c r="DBA68" s="55"/>
      <c r="DBC68" s="55"/>
      <c r="DBE68" s="55"/>
      <c r="DBG68" s="55"/>
      <c r="DBI68" s="55"/>
      <c r="DBK68" s="55"/>
      <c r="DBM68" s="55"/>
      <c r="DBO68" s="55"/>
      <c r="DBQ68" s="55"/>
      <c r="DBS68" s="55"/>
      <c r="DBU68" s="55"/>
      <c r="DBW68" s="55"/>
      <c r="DBY68" s="55"/>
      <c r="DCA68" s="55"/>
      <c r="DCC68" s="55"/>
      <c r="DCE68" s="55"/>
      <c r="DCG68" s="55"/>
      <c r="DCI68" s="55"/>
      <c r="DCK68" s="55"/>
      <c r="DCM68" s="55"/>
      <c r="DCO68" s="55"/>
      <c r="DCQ68" s="55"/>
      <c r="DCS68" s="55"/>
      <c r="DCU68" s="55"/>
      <c r="DCW68" s="55"/>
      <c r="DCY68" s="55"/>
      <c r="DDA68" s="55"/>
      <c r="DDC68" s="55"/>
      <c r="DDE68" s="55"/>
      <c r="DDG68" s="55"/>
      <c r="DDI68" s="55"/>
      <c r="DDK68" s="55"/>
      <c r="DDM68" s="55"/>
      <c r="DDO68" s="55"/>
      <c r="DDQ68" s="55"/>
      <c r="DDS68" s="55"/>
      <c r="DDU68" s="55"/>
      <c r="DDW68" s="55"/>
      <c r="DDY68" s="55"/>
      <c r="DEA68" s="55"/>
      <c r="DEC68" s="55"/>
      <c r="DEE68" s="55"/>
      <c r="DEG68" s="55"/>
      <c r="DEI68" s="55"/>
      <c r="DEK68" s="55"/>
      <c r="DEM68" s="55"/>
      <c r="DEO68" s="55"/>
      <c r="DEQ68" s="55"/>
      <c r="DES68" s="55"/>
      <c r="DEU68" s="55"/>
      <c r="DEW68" s="55"/>
      <c r="DEY68" s="55"/>
      <c r="DFA68" s="55"/>
      <c r="DFC68" s="55"/>
      <c r="DFE68" s="55"/>
      <c r="DFG68" s="55"/>
      <c r="DFI68" s="55"/>
      <c r="DFK68" s="55"/>
      <c r="DFM68" s="55"/>
      <c r="DFO68" s="55"/>
      <c r="DFQ68" s="55"/>
      <c r="DFS68" s="55"/>
      <c r="DFU68" s="55"/>
      <c r="DFW68" s="55"/>
      <c r="DFY68" s="55"/>
      <c r="DGA68" s="55"/>
      <c r="DGC68" s="55"/>
      <c r="DGE68" s="55"/>
      <c r="DGG68" s="55"/>
      <c r="DGI68" s="55"/>
      <c r="DGK68" s="55"/>
      <c r="DGM68" s="55"/>
      <c r="DGO68" s="55"/>
      <c r="DGQ68" s="55"/>
      <c r="DGS68" s="55"/>
      <c r="DGU68" s="55"/>
      <c r="DGW68" s="55"/>
      <c r="DGY68" s="55"/>
      <c r="DHA68" s="55"/>
      <c r="DHC68" s="55"/>
      <c r="DHE68" s="55"/>
      <c r="DHG68" s="55"/>
      <c r="DHI68" s="55"/>
      <c r="DHK68" s="55"/>
      <c r="DHM68" s="55"/>
      <c r="DHO68" s="55"/>
      <c r="DHQ68" s="55"/>
      <c r="DHS68" s="55"/>
      <c r="DHU68" s="55"/>
      <c r="DHW68" s="55"/>
      <c r="DHY68" s="55"/>
      <c r="DIA68" s="55"/>
      <c r="DIC68" s="55"/>
      <c r="DIE68" s="55"/>
      <c r="DIG68" s="55"/>
      <c r="DII68" s="55"/>
      <c r="DIK68" s="55"/>
      <c r="DIM68" s="55"/>
      <c r="DIO68" s="55"/>
      <c r="DIQ68" s="55"/>
      <c r="DIS68" s="55"/>
      <c r="DIU68" s="55"/>
      <c r="DIW68" s="55"/>
      <c r="DIY68" s="55"/>
      <c r="DJA68" s="55"/>
      <c r="DJC68" s="55"/>
      <c r="DJE68" s="55"/>
      <c r="DJG68" s="55"/>
      <c r="DJI68" s="55"/>
      <c r="DJK68" s="55"/>
      <c r="DJM68" s="55"/>
      <c r="DJO68" s="55"/>
      <c r="DJQ68" s="55"/>
      <c r="DJS68" s="55"/>
      <c r="DJU68" s="55"/>
      <c r="DJW68" s="55"/>
      <c r="DJY68" s="55"/>
      <c r="DKA68" s="55"/>
      <c r="DKC68" s="55"/>
      <c r="DKE68" s="55"/>
      <c r="DKG68" s="55"/>
      <c r="DKI68" s="55"/>
      <c r="DKK68" s="55"/>
      <c r="DKM68" s="55"/>
      <c r="DKO68" s="55"/>
      <c r="DKQ68" s="55"/>
      <c r="DKS68" s="55"/>
      <c r="DKU68" s="55"/>
      <c r="DKW68" s="55"/>
      <c r="DKY68" s="55"/>
      <c r="DLA68" s="55"/>
      <c r="DLC68" s="55"/>
      <c r="DLE68" s="55"/>
      <c r="DLG68" s="55"/>
      <c r="DLI68" s="55"/>
      <c r="DLK68" s="55"/>
      <c r="DLM68" s="55"/>
      <c r="DLO68" s="55"/>
      <c r="DLQ68" s="55"/>
      <c r="DLS68" s="55"/>
      <c r="DLU68" s="55"/>
      <c r="DLW68" s="55"/>
      <c r="DLY68" s="55"/>
      <c r="DMA68" s="55"/>
      <c r="DMC68" s="55"/>
      <c r="DME68" s="55"/>
      <c r="DMG68" s="55"/>
      <c r="DMI68" s="55"/>
      <c r="DMK68" s="55"/>
      <c r="DMM68" s="55"/>
      <c r="DMO68" s="55"/>
      <c r="DMQ68" s="55"/>
      <c r="DMS68" s="55"/>
      <c r="DMU68" s="55"/>
      <c r="DMW68" s="55"/>
      <c r="DMY68" s="55"/>
      <c r="DNA68" s="55"/>
      <c r="DNC68" s="55"/>
      <c r="DNE68" s="55"/>
      <c r="DNG68" s="55"/>
      <c r="DNI68" s="55"/>
      <c r="DNK68" s="55"/>
      <c r="DNM68" s="55"/>
      <c r="DNO68" s="55"/>
      <c r="DNQ68" s="55"/>
      <c r="DNS68" s="55"/>
      <c r="DNU68" s="55"/>
      <c r="DNW68" s="55"/>
      <c r="DNY68" s="55"/>
      <c r="DOA68" s="55"/>
      <c r="DOC68" s="55"/>
      <c r="DOE68" s="55"/>
      <c r="DOG68" s="55"/>
      <c r="DOI68" s="55"/>
      <c r="DOK68" s="55"/>
      <c r="DOM68" s="55"/>
      <c r="DOO68" s="55"/>
      <c r="DOQ68" s="55"/>
      <c r="DOS68" s="55"/>
      <c r="DOU68" s="55"/>
      <c r="DOW68" s="55"/>
      <c r="DOY68" s="55"/>
      <c r="DPA68" s="55"/>
      <c r="DPC68" s="55"/>
      <c r="DPE68" s="55"/>
      <c r="DPG68" s="55"/>
      <c r="DPI68" s="55"/>
      <c r="DPK68" s="55"/>
      <c r="DPM68" s="55"/>
      <c r="DPO68" s="55"/>
      <c r="DPQ68" s="55"/>
      <c r="DPS68" s="55"/>
      <c r="DPU68" s="55"/>
      <c r="DPW68" s="55"/>
      <c r="DPY68" s="55"/>
      <c r="DQA68" s="55"/>
      <c r="DQC68" s="55"/>
      <c r="DQE68" s="55"/>
      <c r="DQG68" s="55"/>
      <c r="DQI68" s="55"/>
      <c r="DQK68" s="55"/>
      <c r="DQM68" s="55"/>
      <c r="DQO68" s="55"/>
      <c r="DQQ68" s="55"/>
      <c r="DQS68" s="55"/>
      <c r="DQU68" s="55"/>
      <c r="DQW68" s="55"/>
      <c r="DQY68" s="55"/>
      <c r="DRA68" s="55"/>
      <c r="DRC68" s="55"/>
      <c r="DRE68" s="55"/>
      <c r="DRG68" s="55"/>
      <c r="DRI68" s="55"/>
      <c r="DRK68" s="55"/>
      <c r="DRM68" s="55"/>
      <c r="DRO68" s="55"/>
      <c r="DRQ68" s="55"/>
      <c r="DRS68" s="55"/>
      <c r="DRU68" s="55"/>
      <c r="DRW68" s="55"/>
      <c r="DRY68" s="55"/>
      <c r="DSA68" s="55"/>
      <c r="DSC68" s="55"/>
      <c r="DSE68" s="55"/>
      <c r="DSG68" s="55"/>
      <c r="DSI68" s="55"/>
      <c r="DSK68" s="55"/>
      <c r="DSM68" s="55"/>
      <c r="DSO68" s="55"/>
      <c r="DSQ68" s="55"/>
      <c r="DSS68" s="55"/>
      <c r="DSU68" s="55"/>
      <c r="DSW68" s="55"/>
      <c r="DSY68" s="55"/>
      <c r="DTA68" s="55"/>
      <c r="DTC68" s="55"/>
      <c r="DTE68" s="55"/>
      <c r="DTG68" s="55"/>
      <c r="DTI68" s="55"/>
      <c r="DTK68" s="55"/>
      <c r="DTM68" s="55"/>
      <c r="DTO68" s="55"/>
      <c r="DTQ68" s="55"/>
      <c r="DTS68" s="55"/>
      <c r="DTU68" s="55"/>
      <c r="DTW68" s="55"/>
      <c r="DTY68" s="55"/>
      <c r="DUA68" s="55"/>
      <c r="DUC68" s="55"/>
      <c r="DUE68" s="55"/>
      <c r="DUG68" s="55"/>
      <c r="DUI68" s="55"/>
      <c r="DUK68" s="55"/>
      <c r="DUM68" s="55"/>
      <c r="DUO68" s="55"/>
      <c r="DUQ68" s="55"/>
      <c r="DUS68" s="55"/>
      <c r="DUU68" s="55"/>
      <c r="DUW68" s="55"/>
      <c r="DUY68" s="55"/>
      <c r="DVA68" s="55"/>
      <c r="DVC68" s="55"/>
      <c r="DVE68" s="55"/>
      <c r="DVG68" s="55"/>
      <c r="DVI68" s="55"/>
      <c r="DVK68" s="55"/>
      <c r="DVM68" s="55"/>
      <c r="DVO68" s="55"/>
      <c r="DVQ68" s="55"/>
      <c r="DVS68" s="55"/>
      <c r="DVU68" s="55"/>
      <c r="DVW68" s="55"/>
      <c r="DVY68" s="55"/>
      <c r="DWA68" s="55"/>
      <c r="DWC68" s="55"/>
      <c r="DWE68" s="55"/>
      <c r="DWG68" s="55"/>
      <c r="DWI68" s="55"/>
      <c r="DWK68" s="55"/>
      <c r="DWM68" s="55"/>
      <c r="DWO68" s="55"/>
      <c r="DWQ68" s="55"/>
      <c r="DWS68" s="55"/>
      <c r="DWU68" s="55"/>
      <c r="DWW68" s="55"/>
      <c r="DWY68" s="55"/>
      <c r="DXA68" s="55"/>
      <c r="DXC68" s="55"/>
      <c r="DXE68" s="55"/>
      <c r="DXG68" s="55"/>
      <c r="DXI68" s="55"/>
      <c r="DXK68" s="55"/>
      <c r="DXM68" s="55"/>
      <c r="DXO68" s="55"/>
      <c r="DXQ68" s="55"/>
      <c r="DXS68" s="55"/>
      <c r="DXU68" s="55"/>
      <c r="DXW68" s="55"/>
      <c r="DXY68" s="55"/>
      <c r="DYA68" s="55"/>
      <c r="DYC68" s="55"/>
      <c r="DYE68" s="55"/>
      <c r="DYG68" s="55"/>
      <c r="DYI68" s="55"/>
      <c r="DYK68" s="55"/>
      <c r="DYM68" s="55"/>
      <c r="DYO68" s="55"/>
      <c r="DYQ68" s="55"/>
      <c r="DYS68" s="55"/>
      <c r="DYU68" s="55"/>
      <c r="DYW68" s="55"/>
      <c r="DYY68" s="55"/>
      <c r="DZA68" s="55"/>
      <c r="DZC68" s="55"/>
      <c r="DZE68" s="55"/>
      <c r="DZG68" s="55"/>
      <c r="DZI68" s="55"/>
      <c r="DZK68" s="55"/>
      <c r="DZM68" s="55"/>
      <c r="DZO68" s="55"/>
      <c r="DZQ68" s="55"/>
      <c r="DZS68" s="55"/>
      <c r="DZU68" s="55"/>
      <c r="DZW68" s="55"/>
      <c r="DZY68" s="55"/>
      <c r="EAA68" s="55"/>
      <c r="EAC68" s="55"/>
      <c r="EAE68" s="55"/>
      <c r="EAG68" s="55"/>
      <c r="EAI68" s="55"/>
      <c r="EAK68" s="55"/>
      <c r="EAM68" s="55"/>
      <c r="EAO68" s="55"/>
      <c r="EAQ68" s="55"/>
      <c r="EAS68" s="55"/>
      <c r="EAU68" s="55"/>
      <c r="EAW68" s="55"/>
      <c r="EAY68" s="55"/>
      <c r="EBA68" s="55"/>
      <c r="EBC68" s="55"/>
      <c r="EBE68" s="55"/>
      <c r="EBG68" s="55"/>
      <c r="EBI68" s="55"/>
      <c r="EBK68" s="55"/>
      <c r="EBM68" s="55"/>
      <c r="EBO68" s="55"/>
      <c r="EBQ68" s="55"/>
      <c r="EBS68" s="55"/>
      <c r="EBU68" s="55"/>
      <c r="EBW68" s="55"/>
      <c r="EBY68" s="55"/>
      <c r="ECA68" s="55"/>
      <c r="ECC68" s="55"/>
      <c r="ECE68" s="55"/>
      <c r="ECG68" s="55"/>
      <c r="ECI68" s="55"/>
      <c r="ECK68" s="55"/>
      <c r="ECM68" s="55"/>
      <c r="ECO68" s="55"/>
      <c r="ECQ68" s="55"/>
      <c r="ECS68" s="55"/>
      <c r="ECU68" s="55"/>
      <c r="ECW68" s="55"/>
      <c r="ECY68" s="55"/>
      <c r="EDA68" s="55"/>
      <c r="EDC68" s="55"/>
      <c r="EDE68" s="55"/>
      <c r="EDG68" s="55"/>
      <c r="EDI68" s="55"/>
      <c r="EDK68" s="55"/>
      <c r="EDM68" s="55"/>
      <c r="EDO68" s="55"/>
      <c r="EDQ68" s="55"/>
      <c r="EDS68" s="55"/>
      <c r="EDU68" s="55"/>
      <c r="EDW68" s="55"/>
      <c r="EDY68" s="55"/>
      <c r="EEA68" s="55"/>
      <c r="EEC68" s="55"/>
      <c r="EEE68" s="55"/>
      <c r="EEG68" s="55"/>
      <c r="EEI68" s="55"/>
      <c r="EEK68" s="55"/>
      <c r="EEM68" s="55"/>
      <c r="EEO68" s="55"/>
      <c r="EEQ68" s="55"/>
      <c r="EES68" s="55"/>
      <c r="EEU68" s="55"/>
      <c r="EEW68" s="55"/>
      <c r="EEY68" s="55"/>
      <c r="EFA68" s="55"/>
      <c r="EFC68" s="55"/>
      <c r="EFE68" s="55"/>
      <c r="EFG68" s="55"/>
      <c r="EFI68" s="55"/>
      <c r="EFK68" s="55"/>
      <c r="EFM68" s="55"/>
      <c r="EFO68" s="55"/>
      <c r="EFQ68" s="55"/>
      <c r="EFS68" s="55"/>
      <c r="EFU68" s="55"/>
      <c r="EFW68" s="55"/>
      <c r="EFY68" s="55"/>
      <c r="EGA68" s="55"/>
      <c r="EGC68" s="55"/>
      <c r="EGE68" s="55"/>
      <c r="EGG68" s="55"/>
      <c r="EGI68" s="55"/>
      <c r="EGK68" s="55"/>
      <c r="EGM68" s="55"/>
      <c r="EGO68" s="55"/>
      <c r="EGQ68" s="55"/>
      <c r="EGS68" s="55"/>
      <c r="EGU68" s="55"/>
      <c r="EGW68" s="55"/>
      <c r="EGY68" s="55"/>
      <c r="EHA68" s="55"/>
      <c r="EHC68" s="55"/>
      <c r="EHE68" s="55"/>
      <c r="EHG68" s="55"/>
      <c r="EHI68" s="55"/>
      <c r="EHK68" s="55"/>
      <c r="EHM68" s="55"/>
      <c r="EHO68" s="55"/>
      <c r="EHQ68" s="55"/>
      <c r="EHS68" s="55"/>
      <c r="EHU68" s="55"/>
      <c r="EHW68" s="55"/>
      <c r="EHY68" s="55"/>
      <c r="EIA68" s="55"/>
      <c r="EIC68" s="55"/>
      <c r="EIE68" s="55"/>
      <c r="EIG68" s="55"/>
      <c r="EII68" s="55"/>
      <c r="EIK68" s="55"/>
      <c r="EIM68" s="55"/>
      <c r="EIO68" s="55"/>
      <c r="EIQ68" s="55"/>
      <c r="EIS68" s="55"/>
      <c r="EIU68" s="55"/>
      <c r="EIW68" s="55"/>
      <c r="EIY68" s="55"/>
      <c r="EJA68" s="55"/>
      <c r="EJC68" s="55"/>
      <c r="EJE68" s="55"/>
      <c r="EJG68" s="55"/>
      <c r="EJI68" s="55"/>
      <c r="EJK68" s="55"/>
      <c r="EJM68" s="55"/>
      <c r="EJO68" s="55"/>
      <c r="EJQ68" s="55"/>
      <c r="EJS68" s="55"/>
      <c r="EJU68" s="55"/>
      <c r="EJW68" s="55"/>
      <c r="EJY68" s="55"/>
      <c r="EKA68" s="55"/>
      <c r="EKC68" s="55"/>
      <c r="EKE68" s="55"/>
      <c r="EKG68" s="55"/>
      <c r="EKI68" s="55"/>
      <c r="EKK68" s="55"/>
      <c r="EKM68" s="55"/>
      <c r="EKO68" s="55"/>
      <c r="EKQ68" s="55"/>
      <c r="EKS68" s="55"/>
      <c r="EKU68" s="55"/>
      <c r="EKW68" s="55"/>
      <c r="EKY68" s="55"/>
      <c r="ELA68" s="55"/>
      <c r="ELC68" s="55"/>
      <c r="ELE68" s="55"/>
      <c r="ELG68" s="55"/>
      <c r="ELI68" s="55"/>
      <c r="ELK68" s="55"/>
      <c r="ELM68" s="55"/>
      <c r="ELO68" s="55"/>
      <c r="ELQ68" s="55"/>
      <c r="ELS68" s="55"/>
      <c r="ELU68" s="55"/>
      <c r="ELW68" s="55"/>
      <c r="ELY68" s="55"/>
      <c r="EMA68" s="55"/>
      <c r="EMC68" s="55"/>
      <c r="EME68" s="55"/>
      <c r="EMG68" s="55"/>
      <c r="EMI68" s="55"/>
      <c r="EMK68" s="55"/>
      <c r="EMM68" s="55"/>
      <c r="EMO68" s="55"/>
      <c r="EMQ68" s="55"/>
      <c r="EMS68" s="55"/>
      <c r="EMU68" s="55"/>
      <c r="EMW68" s="55"/>
      <c r="EMY68" s="55"/>
      <c r="ENA68" s="55"/>
      <c r="ENC68" s="55"/>
      <c r="ENE68" s="55"/>
      <c r="ENG68" s="55"/>
      <c r="ENI68" s="55"/>
      <c r="ENK68" s="55"/>
      <c r="ENM68" s="55"/>
      <c r="ENO68" s="55"/>
      <c r="ENQ68" s="55"/>
      <c r="ENS68" s="55"/>
      <c r="ENU68" s="55"/>
      <c r="ENW68" s="55"/>
      <c r="ENY68" s="55"/>
      <c r="EOA68" s="55"/>
      <c r="EOC68" s="55"/>
      <c r="EOE68" s="55"/>
      <c r="EOG68" s="55"/>
      <c r="EOI68" s="55"/>
      <c r="EOK68" s="55"/>
      <c r="EOM68" s="55"/>
      <c r="EOO68" s="55"/>
      <c r="EOQ68" s="55"/>
      <c r="EOS68" s="55"/>
      <c r="EOU68" s="55"/>
      <c r="EOW68" s="55"/>
      <c r="EOY68" s="55"/>
      <c r="EPA68" s="55"/>
      <c r="EPC68" s="55"/>
      <c r="EPE68" s="55"/>
      <c r="EPG68" s="55"/>
      <c r="EPI68" s="55"/>
      <c r="EPK68" s="55"/>
      <c r="EPM68" s="55"/>
      <c r="EPO68" s="55"/>
      <c r="EPQ68" s="55"/>
      <c r="EPS68" s="55"/>
      <c r="EPU68" s="55"/>
      <c r="EPW68" s="55"/>
      <c r="EPY68" s="55"/>
      <c r="EQA68" s="55"/>
      <c r="EQC68" s="55"/>
      <c r="EQE68" s="55"/>
      <c r="EQG68" s="55"/>
      <c r="EQI68" s="55"/>
      <c r="EQK68" s="55"/>
      <c r="EQM68" s="55"/>
      <c r="EQO68" s="55"/>
      <c r="EQQ68" s="55"/>
      <c r="EQS68" s="55"/>
      <c r="EQU68" s="55"/>
      <c r="EQW68" s="55"/>
      <c r="EQY68" s="55"/>
      <c r="ERA68" s="55"/>
      <c r="ERC68" s="55"/>
      <c r="ERE68" s="55"/>
      <c r="ERG68" s="55"/>
      <c r="ERI68" s="55"/>
      <c r="ERK68" s="55"/>
      <c r="ERM68" s="55"/>
      <c r="ERO68" s="55"/>
      <c r="ERQ68" s="55"/>
      <c r="ERS68" s="55"/>
      <c r="ERU68" s="55"/>
      <c r="ERW68" s="55"/>
      <c r="ERY68" s="55"/>
      <c r="ESA68" s="55"/>
      <c r="ESC68" s="55"/>
      <c r="ESE68" s="55"/>
      <c r="ESG68" s="55"/>
      <c r="ESI68" s="55"/>
      <c r="ESK68" s="55"/>
      <c r="ESM68" s="55"/>
      <c r="ESO68" s="55"/>
      <c r="ESQ68" s="55"/>
      <c r="ESS68" s="55"/>
      <c r="ESU68" s="55"/>
      <c r="ESW68" s="55"/>
      <c r="ESY68" s="55"/>
      <c r="ETA68" s="55"/>
      <c r="ETC68" s="55"/>
      <c r="ETE68" s="55"/>
      <c r="ETG68" s="55"/>
      <c r="ETI68" s="55"/>
      <c r="ETK68" s="55"/>
      <c r="ETM68" s="55"/>
      <c r="ETO68" s="55"/>
      <c r="ETQ68" s="55"/>
      <c r="ETS68" s="55"/>
      <c r="ETU68" s="55"/>
      <c r="ETW68" s="55"/>
      <c r="ETY68" s="55"/>
      <c r="EUA68" s="55"/>
      <c r="EUC68" s="55"/>
      <c r="EUE68" s="55"/>
      <c r="EUG68" s="55"/>
      <c r="EUI68" s="55"/>
      <c r="EUK68" s="55"/>
      <c r="EUM68" s="55"/>
      <c r="EUO68" s="55"/>
      <c r="EUQ68" s="55"/>
      <c r="EUS68" s="55"/>
      <c r="EUU68" s="55"/>
      <c r="EUW68" s="55"/>
      <c r="EUY68" s="55"/>
      <c r="EVA68" s="55"/>
      <c r="EVC68" s="55"/>
      <c r="EVE68" s="55"/>
      <c r="EVG68" s="55"/>
      <c r="EVI68" s="55"/>
      <c r="EVK68" s="55"/>
      <c r="EVM68" s="55"/>
      <c r="EVO68" s="55"/>
      <c r="EVQ68" s="55"/>
      <c r="EVS68" s="55"/>
      <c r="EVU68" s="55"/>
      <c r="EVW68" s="55"/>
      <c r="EVY68" s="55"/>
      <c r="EWA68" s="55"/>
      <c r="EWC68" s="55"/>
      <c r="EWE68" s="55"/>
      <c r="EWG68" s="55"/>
      <c r="EWI68" s="55"/>
      <c r="EWK68" s="55"/>
      <c r="EWM68" s="55"/>
      <c r="EWO68" s="55"/>
      <c r="EWQ68" s="55"/>
      <c r="EWS68" s="55"/>
      <c r="EWU68" s="55"/>
      <c r="EWW68" s="55"/>
      <c r="EWY68" s="55"/>
      <c r="EXA68" s="55"/>
      <c r="EXC68" s="55"/>
      <c r="EXE68" s="55"/>
      <c r="EXG68" s="55"/>
      <c r="EXI68" s="55"/>
      <c r="EXK68" s="55"/>
      <c r="EXM68" s="55"/>
      <c r="EXO68" s="55"/>
      <c r="EXQ68" s="55"/>
      <c r="EXS68" s="55"/>
      <c r="EXU68" s="55"/>
      <c r="EXW68" s="55"/>
      <c r="EXY68" s="55"/>
      <c r="EYA68" s="55"/>
      <c r="EYC68" s="55"/>
      <c r="EYE68" s="55"/>
      <c r="EYG68" s="55"/>
      <c r="EYI68" s="55"/>
      <c r="EYK68" s="55"/>
      <c r="EYM68" s="55"/>
      <c r="EYO68" s="55"/>
      <c r="EYQ68" s="55"/>
      <c r="EYS68" s="55"/>
      <c r="EYU68" s="55"/>
      <c r="EYW68" s="55"/>
      <c r="EYY68" s="55"/>
      <c r="EZA68" s="55"/>
      <c r="EZC68" s="55"/>
      <c r="EZE68" s="55"/>
      <c r="EZG68" s="55"/>
      <c r="EZI68" s="55"/>
      <c r="EZK68" s="55"/>
      <c r="EZM68" s="55"/>
      <c r="EZO68" s="55"/>
      <c r="EZQ68" s="55"/>
      <c r="EZS68" s="55"/>
      <c r="EZU68" s="55"/>
      <c r="EZW68" s="55"/>
      <c r="EZY68" s="55"/>
      <c r="FAA68" s="55"/>
      <c r="FAC68" s="55"/>
      <c r="FAE68" s="55"/>
      <c r="FAG68" s="55"/>
      <c r="FAI68" s="55"/>
      <c r="FAK68" s="55"/>
      <c r="FAM68" s="55"/>
      <c r="FAO68" s="55"/>
      <c r="FAQ68" s="55"/>
      <c r="FAS68" s="55"/>
      <c r="FAU68" s="55"/>
      <c r="FAW68" s="55"/>
      <c r="FAY68" s="55"/>
      <c r="FBA68" s="55"/>
      <c r="FBC68" s="55"/>
      <c r="FBE68" s="55"/>
      <c r="FBG68" s="55"/>
      <c r="FBI68" s="55"/>
      <c r="FBK68" s="55"/>
      <c r="FBM68" s="55"/>
      <c r="FBO68" s="55"/>
      <c r="FBQ68" s="55"/>
      <c r="FBS68" s="55"/>
      <c r="FBU68" s="55"/>
      <c r="FBW68" s="55"/>
      <c r="FBY68" s="55"/>
      <c r="FCA68" s="55"/>
      <c r="FCC68" s="55"/>
      <c r="FCE68" s="55"/>
      <c r="FCG68" s="55"/>
      <c r="FCI68" s="55"/>
      <c r="FCK68" s="55"/>
      <c r="FCM68" s="55"/>
      <c r="FCO68" s="55"/>
      <c r="FCQ68" s="55"/>
      <c r="FCS68" s="55"/>
      <c r="FCU68" s="55"/>
      <c r="FCW68" s="55"/>
      <c r="FCY68" s="55"/>
      <c r="FDA68" s="55"/>
      <c r="FDC68" s="55"/>
      <c r="FDE68" s="55"/>
      <c r="FDG68" s="55"/>
      <c r="FDI68" s="55"/>
      <c r="FDK68" s="55"/>
      <c r="FDM68" s="55"/>
      <c r="FDO68" s="55"/>
      <c r="FDQ68" s="55"/>
      <c r="FDS68" s="55"/>
      <c r="FDU68" s="55"/>
      <c r="FDW68" s="55"/>
      <c r="FDY68" s="55"/>
      <c r="FEA68" s="55"/>
      <c r="FEC68" s="55"/>
      <c r="FEE68" s="55"/>
      <c r="FEG68" s="55"/>
      <c r="FEI68" s="55"/>
      <c r="FEK68" s="55"/>
      <c r="FEM68" s="55"/>
      <c r="FEO68" s="55"/>
      <c r="FEQ68" s="55"/>
      <c r="FES68" s="55"/>
      <c r="FEU68" s="55"/>
      <c r="FEW68" s="55"/>
      <c r="FEY68" s="55"/>
      <c r="FFA68" s="55"/>
      <c r="FFC68" s="55"/>
      <c r="FFE68" s="55"/>
      <c r="FFG68" s="55"/>
      <c r="FFI68" s="55"/>
      <c r="FFK68" s="55"/>
      <c r="FFM68" s="55"/>
      <c r="FFO68" s="55"/>
      <c r="FFQ68" s="55"/>
      <c r="FFS68" s="55"/>
      <c r="FFU68" s="55"/>
      <c r="FFW68" s="55"/>
      <c r="FFY68" s="55"/>
      <c r="FGA68" s="55"/>
      <c r="FGC68" s="55"/>
      <c r="FGE68" s="55"/>
      <c r="FGG68" s="55"/>
      <c r="FGI68" s="55"/>
      <c r="FGK68" s="55"/>
      <c r="FGM68" s="55"/>
      <c r="FGO68" s="55"/>
      <c r="FGQ68" s="55"/>
      <c r="FGS68" s="55"/>
      <c r="FGU68" s="55"/>
      <c r="FGW68" s="55"/>
      <c r="FGY68" s="55"/>
      <c r="FHA68" s="55"/>
      <c r="FHC68" s="55"/>
      <c r="FHE68" s="55"/>
      <c r="FHG68" s="55"/>
      <c r="FHI68" s="55"/>
      <c r="FHK68" s="55"/>
      <c r="FHM68" s="55"/>
      <c r="FHO68" s="55"/>
      <c r="FHQ68" s="55"/>
      <c r="FHS68" s="55"/>
      <c r="FHU68" s="55"/>
      <c r="FHW68" s="55"/>
      <c r="FHY68" s="55"/>
      <c r="FIA68" s="55"/>
      <c r="FIC68" s="55"/>
      <c r="FIE68" s="55"/>
      <c r="FIG68" s="55"/>
      <c r="FII68" s="55"/>
      <c r="FIK68" s="55"/>
      <c r="FIM68" s="55"/>
      <c r="FIO68" s="55"/>
      <c r="FIQ68" s="55"/>
      <c r="FIS68" s="55"/>
      <c r="FIU68" s="55"/>
      <c r="FIW68" s="55"/>
      <c r="FIY68" s="55"/>
      <c r="FJA68" s="55"/>
      <c r="FJC68" s="55"/>
      <c r="FJE68" s="55"/>
      <c r="FJG68" s="55"/>
      <c r="FJI68" s="55"/>
      <c r="FJK68" s="55"/>
      <c r="FJM68" s="55"/>
      <c r="FJO68" s="55"/>
      <c r="FJQ68" s="55"/>
      <c r="FJS68" s="55"/>
      <c r="FJU68" s="55"/>
      <c r="FJW68" s="55"/>
      <c r="FJY68" s="55"/>
      <c r="FKA68" s="55"/>
      <c r="FKC68" s="55"/>
      <c r="FKE68" s="55"/>
      <c r="FKG68" s="55"/>
      <c r="FKI68" s="55"/>
      <c r="FKK68" s="55"/>
      <c r="FKM68" s="55"/>
      <c r="FKO68" s="55"/>
      <c r="FKQ68" s="55"/>
      <c r="FKS68" s="55"/>
      <c r="FKU68" s="55"/>
      <c r="FKW68" s="55"/>
      <c r="FKY68" s="55"/>
      <c r="FLA68" s="55"/>
      <c r="FLC68" s="55"/>
      <c r="FLE68" s="55"/>
      <c r="FLG68" s="55"/>
      <c r="FLI68" s="55"/>
      <c r="FLK68" s="55"/>
      <c r="FLM68" s="55"/>
      <c r="FLO68" s="55"/>
      <c r="FLQ68" s="55"/>
      <c r="FLS68" s="55"/>
      <c r="FLU68" s="55"/>
      <c r="FLW68" s="55"/>
      <c r="FLY68" s="55"/>
      <c r="FMA68" s="55"/>
      <c r="FMC68" s="55"/>
      <c r="FME68" s="55"/>
      <c r="FMG68" s="55"/>
      <c r="FMI68" s="55"/>
      <c r="FMK68" s="55"/>
      <c r="FMM68" s="55"/>
      <c r="FMO68" s="55"/>
      <c r="FMQ68" s="55"/>
      <c r="FMS68" s="55"/>
      <c r="FMU68" s="55"/>
      <c r="FMW68" s="55"/>
      <c r="FMY68" s="55"/>
      <c r="FNA68" s="55"/>
      <c r="FNC68" s="55"/>
      <c r="FNE68" s="55"/>
      <c r="FNG68" s="55"/>
      <c r="FNI68" s="55"/>
      <c r="FNK68" s="55"/>
      <c r="FNM68" s="55"/>
      <c r="FNO68" s="55"/>
      <c r="FNQ68" s="55"/>
      <c r="FNS68" s="55"/>
      <c r="FNU68" s="55"/>
      <c r="FNW68" s="55"/>
      <c r="FNY68" s="55"/>
      <c r="FOA68" s="55"/>
      <c r="FOC68" s="55"/>
      <c r="FOE68" s="55"/>
      <c r="FOG68" s="55"/>
      <c r="FOI68" s="55"/>
      <c r="FOK68" s="55"/>
      <c r="FOM68" s="55"/>
      <c r="FOO68" s="55"/>
      <c r="FOQ68" s="55"/>
      <c r="FOS68" s="55"/>
      <c r="FOU68" s="55"/>
      <c r="FOW68" s="55"/>
      <c r="FOY68" s="55"/>
      <c r="FPA68" s="55"/>
      <c r="FPC68" s="55"/>
      <c r="FPE68" s="55"/>
      <c r="FPG68" s="55"/>
      <c r="FPI68" s="55"/>
      <c r="FPK68" s="55"/>
      <c r="FPM68" s="55"/>
      <c r="FPO68" s="55"/>
      <c r="FPQ68" s="55"/>
      <c r="FPS68" s="55"/>
      <c r="FPU68" s="55"/>
      <c r="FPW68" s="55"/>
      <c r="FPY68" s="55"/>
      <c r="FQA68" s="55"/>
      <c r="FQC68" s="55"/>
      <c r="FQE68" s="55"/>
      <c r="FQG68" s="55"/>
      <c r="FQI68" s="55"/>
      <c r="FQK68" s="55"/>
      <c r="FQM68" s="55"/>
      <c r="FQO68" s="55"/>
      <c r="FQQ68" s="55"/>
      <c r="FQS68" s="55"/>
      <c r="FQU68" s="55"/>
      <c r="FQW68" s="55"/>
      <c r="FQY68" s="55"/>
      <c r="FRA68" s="55"/>
      <c r="FRC68" s="55"/>
      <c r="FRE68" s="55"/>
      <c r="FRG68" s="55"/>
      <c r="FRI68" s="55"/>
      <c r="FRK68" s="55"/>
      <c r="FRM68" s="55"/>
      <c r="FRO68" s="55"/>
      <c r="FRQ68" s="55"/>
      <c r="FRS68" s="55"/>
      <c r="FRU68" s="55"/>
      <c r="FRW68" s="55"/>
      <c r="FRY68" s="55"/>
      <c r="FSA68" s="55"/>
      <c r="FSC68" s="55"/>
      <c r="FSE68" s="55"/>
      <c r="FSG68" s="55"/>
      <c r="FSI68" s="55"/>
      <c r="FSK68" s="55"/>
      <c r="FSM68" s="55"/>
      <c r="FSO68" s="55"/>
      <c r="FSQ68" s="55"/>
      <c r="FSS68" s="55"/>
      <c r="FSU68" s="55"/>
      <c r="FSW68" s="55"/>
      <c r="FSY68" s="55"/>
      <c r="FTA68" s="55"/>
      <c r="FTC68" s="55"/>
      <c r="FTE68" s="55"/>
      <c r="FTG68" s="55"/>
      <c r="FTI68" s="55"/>
      <c r="FTK68" s="55"/>
      <c r="FTM68" s="55"/>
      <c r="FTO68" s="55"/>
      <c r="FTQ68" s="55"/>
      <c r="FTS68" s="55"/>
      <c r="FTU68" s="55"/>
      <c r="FTW68" s="55"/>
      <c r="FTY68" s="55"/>
      <c r="FUA68" s="55"/>
      <c r="FUC68" s="55"/>
      <c r="FUE68" s="55"/>
      <c r="FUG68" s="55"/>
      <c r="FUI68" s="55"/>
      <c r="FUK68" s="55"/>
      <c r="FUM68" s="55"/>
      <c r="FUO68" s="55"/>
      <c r="FUQ68" s="55"/>
      <c r="FUS68" s="55"/>
      <c r="FUU68" s="55"/>
      <c r="FUW68" s="55"/>
      <c r="FUY68" s="55"/>
      <c r="FVA68" s="55"/>
      <c r="FVC68" s="55"/>
      <c r="FVE68" s="55"/>
      <c r="FVG68" s="55"/>
      <c r="FVI68" s="55"/>
      <c r="FVK68" s="55"/>
      <c r="FVM68" s="55"/>
      <c r="FVO68" s="55"/>
      <c r="FVQ68" s="55"/>
      <c r="FVS68" s="55"/>
      <c r="FVU68" s="55"/>
      <c r="FVW68" s="55"/>
      <c r="FVY68" s="55"/>
      <c r="FWA68" s="55"/>
      <c r="FWC68" s="55"/>
      <c r="FWE68" s="55"/>
      <c r="FWG68" s="55"/>
      <c r="FWI68" s="55"/>
      <c r="FWK68" s="55"/>
      <c r="FWM68" s="55"/>
      <c r="FWO68" s="55"/>
      <c r="FWQ68" s="55"/>
      <c r="FWS68" s="55"/>
      <c r="FWU68" s="55"/>
      <c r="FWW68" s="55"/>
      <c r="FWY68" s="55"/>
      <c r="FXA68" s="55"/>
      <c r="FXC68" s="55"/>
      <c r="FXE68" s="55"/>
      <c r="FXG68" s="55"/>
      <c r="FXI68" s="55"/>
      <c r="FXK68" s="55"/>
      <c r="FXM68" s="55"/>
      <c r="FXO68" s="55"/>
      <c r="FXQ68" s="55"/>
      <c r="FXS68" s="55"/>
      <c r="FXU68" s="55"/>
      <c r="FXW68" s="55"/>
      <c r="FXY68" s="55"/>
      <c r="FYA68" s="55"/>
      <c r="FYC68" s="55"/>
      <c r="FYE68" s="55"/>
      <c r="FYG68" s="55"/>
      <c r="FYI68" s="55"/>
      <c r="FYK68" s="55"/>
      <c r="FYM68" s="55"/>
      <c r="FYO68" s="55"/>
      <c r="FYQ68" s="55"/>
      <c r="FYS68" s="55"/>
      <c r="FYU68" s="55"/>
      <c r="FYW68" s="55"/>
      <c r="FYY68" s="55"/>
      <c r="FZA68" s="55"/>
      <c r="FZC68" s="55"/>
      <c r="FZE68" s="55"/>
      <c r="FZG68" s="55"/>
      <c r="FZI68" s="55"/>
      <c r="FZK68" s="55"/>
      <c r="FZM68" s="55"/>
      <c r="FZO68" s="55"/>
      <c r="FZQ68" s="55"/>
      <c r="FZS68" s="55"/>
      <c r="FZU68" s="55"/>
      <c r="FZW68" s="55"/>
      <c r="FZY68" s="55"/>
      <c r="GAA68" s="55"/>
      <c r="GAC68" s="55"/>
      <c r="GAE68" s="55"/>
      <c r="GAG68" s="55"/>
      <c r="GAI68" s="55"/>
      <c r="GAK68" s="55"/>
      <c r="GAM68" s="55"/>
      <c r="GAO68" s="55"/>
      <c r="GAQ68" s="55"/>
      <c r="GAS68" s="55"/>
      <c r="GAU68" s="55"/>
      <c r="GAW68" s="55"/>
      <c r="GAY68" s="55"/>
      <c r="GBA68" s="55"/>
      <c r="GBC68" s="55"/>
      <c r="GBE68" s="55"/>
      <c r="GBG68" s="55"/>
      <c r="GBI68" s="55"/>
      <c r="GBK68" s="55"/>
      <c r="GBM68" s="55"/>
      <c r="GBO68" s="55"/>
      <c r="GBQ68" s="55"/>
      <c r="GBS68" s="55"/>
      <c r="GBU68" s="55"/>
      <c r="GBW68" s="55"/>
      <c r="GBY68" s="55"/>
      <c r="GCA68" s="55"/>
      <c r="GCC68" s="55"/>
      <c r="GCE68" s="55"/>
      <c r="GCG68" s="55"/>
      <c r="GCI68" s="55"/>
      <c r="GCK68" s="55"/>
      <c r="GCM68" s="55"/>
      <c r="GCO68" s="55"/>
      <c r="GCQ68" s="55"/>
      <c r="GCS68" s="55"/>
      <c r="GCU68" s="55"/>
      <c r="GCW68" s="55"/>
      <c r="GCY68" s="55"/>
      <c r="GDA68" s="55"/>
      <c r="GDC68" s="55"/>
      <c r="GDE68" s="55"/>
      <c r="GDG68" s="55"/>
      <c r="GDI68" s="55"/>
      <c r="GDK68" s="55"/>
      <c r="GDM68" s="55"/>
      <c r="GDO68" s="55"/>
      <c r="GDQ68" s="55"/>
      <c r="GDS68" s="55"/>
      <c r="GDU68" s="55"/>
      <c r="GDW68" s="55"/>
      <c r="GDY68" s="55"/>
      <c r="GEA68" s="55"/>
      <c r="GEC68" s="55"/>
      <c r="GEE68" s="55"/>
      <c r="GEG68" s="55"/>
      <c r="GEI68" s="55"/>
      <c r="GEK68" s="55"/>
      <c r="GEM68" s="55"/>
      <c r="GEO68" s="55"/>
      <c r="GEQ68" s="55"/>
      <c r="GES68" s="55"/>
      <c r="GEU68" s="55"/>
      <c r="GEW68" s="55"/>
      <c r="GEY68" s="55"/>
      <c r="GFA68" s="55"/>
      <c r="GFC68" s="55"/>
      <c r="GFE68" s="55"/>
      <c r="GFG68" s="55"/>
      <c r="GFI68" s="55"/>
      <c r="GFK68" s="55"/>
      <c r="GFM68" s="55"/>
      <c r="GFO68" s="55"/>
      <c r="GFQ68" s="55"/>
      <c r="GFS68" s="55"/>
      <c r="GFU68" s="55"/>
      <c r="GFW68" s="55"/>
      <c r="GFY68" s="55"/>
      <c r="GGA68" s="55"/>
      <c r="GGC68" s="55"/>
      <c r="GGE68" s="55"/>
      <c r="GGG68" s="55"/>
      <c r="GGI68" s="55"/>
      <c r="GGK68" s="55"/>
      <c r="GGM68" s="55"/>
      <c r="GGO68" s="55"/>
      <c r="GGQ68" s="55"/>
      <c r="GGS68" s="55"/>
      <c r="GGU68" s="55"/>
      <c r="GGW68" s="55"/>
      <c r="GGY68" s="55"/>
      <c r="GHA68" s="55"/>
      <c r="GHC68" s="55"/>
      <c r="GHE68" s="55"/>
      <c r="GHG68" s="55"/>
      <c r="GHI68" s="55"/>
      <c r="GHK68" s="55"/>
      <c r="GHM68" s="55"/>
      <c r="GHO68" s="55"/>
      <c r="GHQ68" s="55"/>
      <c r="GHS68" s="55"/>
      <c r="GHU68" s="55"/>
      <c r="GHW68" s="55"/>
      <c r="GHY68" s="55"/>
      <c r="GIA68" s="55"/>
      <c r="GIC68" s="55"/>
      <c r="GIE68" s="55"/>
      <c r="GIG68" s="55"/>
      <c r="GII68" s="55"/>
      <c r="GIK68" s="55"/>
      <c r="GIM68" s="55"/>
      <c r="GIO68" s="55"/>
      <c r="GIQ68" s="55"/>
      <c r="GIS68" s="55"/>
      <c r="GIU68" s="55"/>
      <c r="GIW68" s="55"/>
      <c r="GIY68" s="55"/>
      <c r="GJA68" s="55"/>
      <c r="GJC68" s="55"/>
      <c r="GJE68" s="55"/>
      <c r="GJG68" s="55"/>
      <c r="GJI68" s="55"/>
      <c r="GJK68" s="55"/>
      <c r="GJM68" s="55"/>
      <c r="GJO68" s="55"/>
      <c r="GJQ68" s="55"/>
      <c r="GJS68" s="55"/>
      <c r="GJU68" s="55"/>
      <c r="GJW68" s="55"/>
      <c r="GJY68" s="55"/>
      <c r="GKA68" s="55"/>
      <c r="GKC68" s="55"/>
      <c r="GKE68" s="55"/>
      <c r="GKG68" s="55"/>
      <c r="GKI68" s="55"/>
      <c r="GKK68" s="55"/>
      <c r="GKM68" s="55"/>
      <c r="GKO68" s="55"/>
      <c r="GKQ68" s="55"/>
      <c r="GKS68" s="55"/>
      <c r="GKU68" s="55"/>
      <c r="GKW68" s="55"/>
      <c r="GKY68" s="55"/>
      <c r="GLA68" s="55"/>
      <c r="GLC68" s="55"/>
      <c r="GLE68" s="55"/>
      <c r="GLG68" s="55"/>
      <c r="GLI68" s="55"/>
      <c r="GLK68" s="55"/>
      <c r="GLM68" s="55"/>
      <c r="GLO68" s="55"/>
      <c r="GLQ68" s="55"/>
      <c r="GLS68" s="55"/>
      <c r="GLU68" s="55"/>
      <c r="GLW68" s="55"/>
      <c r="GLY68" s="55"/>
      <c r="GMA68" s="55"/>
      <c r="GMC68" s="55"/>
      <c r="GME68" s="55"/>
      <c r="GMG68" s="55"/>
      <c r="GMI68" s="55"/>
      <c r="GMK68" s="55"/>
      <c r="GMM68" s="55"/>
      <c r="GMO68" s="55"/>
      <c r="GMQ68" s="55"/>
      <c r="GMS68" s="55"/>
      <c r="GMU68" s="55"/>
      <c r="GMW68" s="55"/>
      <c r="GMY68" s="55"/>
      <c r="GNA68" s="55"/>
      <c r="GNC68" s="55"/>
      <c r="GNE68" s="55"/>
      <c r="GNG68" s="55"/>
      <c r="GNI68" s="55"/>
      <c r="GNK68" s="55"/>
      <c r="GNM68" s="55"/>
      <c r="GNO68" s="55"/>
      <c r="GNQ68" s="55"/>
      <c r="GNS68" s="55"/>
      <c r="GNU68" s="55"/>
      <c r="GNW68" s="55"/>
      <c r="GNY68" s="55"/>
      <c r="GOA68" s="55"/>
      <c r="GOC68" s="55"/>
      <c r="GOE68" s="55"/>
      <c r="GOG68" s="55"/>
      <c r="GOI68" s="55"/>
      <c r="GOK68" s="55"/>
      <c r="GOM68" s="55"/>
      <c r="GOO68" s="55"/>
      <c r="GOQ68" s="55"/>
      <c r="GOS68" s="55"/>
      <c r="GOU68" s="55"/>
      <c r="GOW68" s="55"/>
      <c r="GOY68" s="55"/>
      <c r="GPA68" s="55"/>
      <c r="GPC68" s="55"/>
      <c r="GPE68" s="55"/>
      <c r="GPG68" s="55"/>
      <c r="GPI68" s="55"/>
      <c r="GPK68" s="55"/>
      <c r="GPM68" s="55"/>
      <c r="GPO68" s="55"/>
      <c r="GPQ68" s="55"/>
      <c r="GPS68" s="55"/>
      <c r="GPU68" s="55"/>
      <c r="GPW68" s="55"/>
      <c r="GPY68" s="55"/>
      <c r="GQA68" s="55"/>
      <c r="GQC68" s="55"/>
      <c r="GQE68" s="55"/>
      <c r="GQG68" s="55"/>
      <c r="GQI68" s="55"/>
      <c r="GQK68" s="55"/>
      <c r="GQM68" s="55"/>
      <c r="GQO68" s="55"/>
      <c r="GQQ68" s="55"/>
      <c r="GQS68" s="55"/>
      <c r="GQU68" s="55"/>
      <c r="GQW68" s="55"/>
      <c r="GQY68" s="55"/>
      <c r="GRA68" s="55"/>
      <c r="GRC68" s="55"/>
      <c r="GRE68" s="55"/>
      <c r="GRG68" s="55"/>
      <c r="GRI68" s="55"/>
      <c r="GRK68" s="55"/>
      <c r="GRM68" s="55"/>
      <c r="GRO68" s="55"/>
      <c r="GRQ68" s="55"/>
      <c r="GRS68" s="55"/>
      <c r="GRU68" s="55"/>
      <c r="GRW68" s="55"/>
      <c r="GRY68" s="55"/>
      <c r="GSA68" s="55"/>
      <c r="GSC68" s="55"/>
      <c r="GSE68" s="55"/>
      <c r="GSG68" s="55"/>
      <c r="GSI68" s="55"/>
      <c r="GSK68" s="55"/>
      <c r="GSM68" s="55"/>
      <c r="GSO68" s="55"/>
      <c r="GSQ68" s="55"/>
      <c r="GSS68" s="55"/>
      <c r="GSU68" s="55"/>
      <c r="GSW68" s="55"/>
      <c r="GSY68" s="55"/>
      <c r="GTA68" s="55"/>
      <c r="GTC68" s="55"/>
      <c r="GTE68" s="55"/>
      <c r="GTG68" s="55"/>
      <c r="GTI68" s="55"/>
      <c r="GTK68" s="55"/>
      <c r="GTM68" s="55"/>
      <c r="GTO68" s="55"/>
      <c r="GTQ68" s="55"/>
      <c r="GTS68" s="55"/>
      <c r="GTU68" s="55"/>
      <c r="GTW68" s="55"/>
      <c r="GTY68" s="55"/>
      <c r="GUA68" s="55"/>
      <c r="GUC68" s="55"/>
      <c r="GUE68" s="55"/>
      <c r="GUG68" s="55"/>
      <c r="GUI68" s="55"/>
      <c r="GUK68" s="55"/>
      <c r="GUM68" s="55"/>
      <c r="GUO68" s="55"/>
      <c r="GUQ68" s="55"/>
      <c r="GUS68" s="55"/>
      <c r="GUU68" s="55"/>
      <c r="GUW68" s="55"/>
      <c r="GUY68" s="55"/>
      <c r="GVA68" s="55"/>
      <c r="GVC68" s="55"/>
      <c r="GVE68" s="55"/>
      <c r="GVG68" s="55"/>
      <c r="GVI68" s="55"/>
      <c r="GVK68" s="55"/>
      <c r="GVM68" s="55"/>
      <c r="GVO68" s="55"/>
      <c r="GVQ68" s="55"/>
      <c r="GVS68" s="55"/>
      <c r="GVU68" s="55"/>
      <c r="GVW68" s="55"/>
      <c r="GVY68" s="55"/>
      <c r="GWA68" s="55"/>
      <c r="GWC68" s="55"/>
      <c r="GWE68" s="55"/>
      <c r="GWG68" s="55"/>
      <c r="GWI68" s="55"/>
      <c r="GWK68" s="55"/>
      <c r="GWM68" s="55"/>
      <c r="GWO68" s="55"/>
      <c r="GWQ68" s="55"/>
      <c r="GWS68" s="55"/>
      <c r="GWU68" s="55"/>
      <c r="GWW68" s="55"/>
      <c r="GWY68" s="55"/>
      <c r="GXA68" s="55"/>
      <c r="GXC68" s="55"/>
      <c r="GXE68" s="55"/>
      <c r="GXG68" s="55"/>
      <c r="GXI68" s="55"/>
      <c r="GXK68" s="55"/>
      <c r="GXM68" s="55"/>
      <c r="GXO68" s="55"/>
      <c r="GXQ68" s="55"/>
      <c r="GXS68" s="55"/>
      <c r="GXU68" s="55"/>
      <c r="GXW68" s="55"/>
      <c r="GXY68" s="55"/>
      <c r="GYA68" s="55"/>
      <c r="GYC68" s="55"/>
      <c r="GYE68" s="55"/>
      <c r="GYG68" s="55"/>
      <c r="GYI68" s="55"/>
      <c r="GYK68" s="55"/>
      <c r="GYM68" s="55"/>
      <c r="GYO68" s="55"/>
      <c r="GYQ68" s="55"/>
      <c r="GYS68" s="55"/>
      <c r="GYU68" s="55"/>
      <c r="GYW68" s="55"/>
      <c r="GYY68" s="55"/>
      <c r="GZA68" s="55"/>
      <c r="GZC68" s="55"/>
      <c r="GZE68" s="55"/>
      <c r="GZG68" s="55"/>
      <c r="GZI68" s="55"/>
      <c r="GZK68" s="55"/>
      <c r="GZM68" s="55"/>
      <c r="GZO68" s="55"/>
      <c r="GZQ68" s="55"/>
      <c r="GZS68" s="55"/>
      <c r="GZU68" s="55"/>
      <c r="GZW68" s="55"/>
      <c r="GZY68" s="55"/>
      <c r="HAA68" s="55"/>
      <c r="HAC68" s="55"/>
      <c r="HAE68" s="55"/>
      <c r="HAG68" s="55"/>
      <c r="HAI68" s="55"/>
      <c r="HAK68" s="55"/>
      <c r="HAM68" s="55"/>
      <c r="HAO68" s="55"/>
      <c r="HAQ68" s="55"/>
      <c r="HAS68" s="55"/>
      <c r="HAU68" s="55"/>
      <c r="HAW68" s="55"/>
      <c r="HAY68" s="55"/>
      <c r="HBA68" s="55"/>
      <c r="HBC68" s="55"/>
      <c r="HBE68" s="55"/>
      <c r="HBG68" s="55"/>
      <c r="HBI68" s="55"/>
      <c r="HBK68" s="55"/>
      <c r="HBM68" s="55"/>
      <c r="HBO68" s="55"/>
      <c r="HBQ68" s="55"/>
      <c r="HBS68" s="55"/>
      <c r="HBU68" s="55"/>
      <c r="HBW68" s="55"/>
      <c r="HBY68" s="55"/>
      <c r="HCA68" s="55"/>
      <c r="HCC68" s="55"/>
      <c r="HCE68" s="55"/>
      <c r="HCG68" s="55"/>
      <c r="HCI68" s="55"/>
      <c r="HCK68" s="55"/>
      <c r="HCM68" s="55"/>
      <c r="HCO68" s="55"/>
      <c r="HCQ68" s="55"/>
      <c r="HCS68" s="55"/>
      <c r="HCU68" s="55"/>
      <c r="HCW68" s="55"/>
      <c r="HCY68" s="55"/>
      <c r="HDA68" s="55"/>
      <c r="HDC68" s="55"/>
      <c r="HDE68" s="55"/>
      <c r="HDG68" s="55"/>
      <c r="HDI68" s="55"/>
      <c r="HDK68" s="55"/>
      <c r="HDM68" s="55"/>
      <c r="HDO68" s="55"/>
      <c r="HDQ68" s="55"/>
      <c r="HDS68" s="55"/>
      <c r="HDU68" s="55"/>
      <c r="HDW68" s="55"/>
      <c r="HDY68" s="55"/>
      <c r="HEA68" s="55"/>
      <c r="HEC68" s="55"/>
      <c r="HEE68" s="55"/>
      <c r="HEG68" s="55"/>
      <c r="HEI68" s="55"/>
      <c r="HEK68" s="55"/>
      <c r="HEM68" s="55"/>
      <c r="HEO68" s="55"/>
      <c r="HEQ68" s="55"/>
      <c r="HES68" s="55"/>
      <c r="HEU68" s="55"/>
      <c r="HEW68" s="55"/>
      <c r="HEY68" s="55"/>
      <c r="HFA68" s="55"/>
      <c r="HFC68" s="55"/>
      <c r="HFE68" s="55"/>
      <c r="HFG68" s="55"/>
      <c r="HFI68" s="55"/>
      <c r="HFK68" s="55"/>
      <c r="HFM68" s="55"/>
      <c r="HFO68" s="55"/>
      <c r="HFQ68" s="55"/>
      <c r="HFS68" s="55"/>
      <c r="HFU68" s="55"/>
      <c r="HFW68" s="55"/>
      <c r="HFY68" s="55"/>
      <c r="HGA68" s="55"/>
      <c r="HGC68" s="55"/>
      <c r="HGE68" s="55"/>
      <c r="HGG68" s="55"/>
      <c r="HGI68" s="55"/>
      <c r="HGK68" s="55"/>
      <c r="HGM68" s="55"/>
      <c r="HGO68" s="55"/>
      <c r="HGQ68" s="55"/>
      <c r="HGS68" s="55"/>
      <c r="HGU68" s="55"/>
      <c r="HGW68" s="55"/>
      <c r="HGY68" s="55"/>
      <c r="HHA68" s="55"/>
      <c r="HHC68" s="55"/>
      <c r="HHE68" s="55"/>
      <c r="HHG68" s="55"/>
      <c r="HHI68" s="55"/>
      <c r="HHK68" s="55"/>
      <c r="HHM68" s="55"/>
      <c r="HHO68" s="55"/>
      <c r="HHQ68" s="55"/>
      <c r="HHS68" s="55"/>
      <c r="HHU68" s="55"/>
      <c r="HHW68" s="55"/>
      <c r="HHY68" s="55"/>
      <c r="HIA68" s="55"/>
      <c r="HIC68" s="55"/>
      <c r="HIE68" s="55"/>
      <c r="HIG68" s="55"/>
      <c r="HII68" s="55"/>
      <c r="HIK68" s="55"/>
      <c r="HIM68" s="55"/>
      <c r="HIO68" s="55"/>
      <c r="HIQ68" s="55"/>
      <c r="HIS68" s="55"/>
      <c r="HIU68" s="55"/>
      <c r="HIW68" s="55"/>
      <c r="HIY68" s="55"/>
      <c r="HJA68" s="55"/>
      <c r="HJC68" s="55"/>
      <c r="HJE68" s="55"/>
      <c r="HJG68" s="55"/>
      <c r="HJI68" s="55"/>
      <c r="HJK68" s="55"/>
      <c r="HJM68" s="55"/>
      <c r="HJO68" s="55"/>
      <c r="HJQ68" s="55"/>
      <c r="HJS68" s="55"/>
      <c r="HJU68" s="55"/>
      <c r="HJW68" s="55"/>
      <c r="HJY68" s="55"/>
      <c r="HKA68" s="55"/>
      <c r="HKC68" s="55"/>
      <c r="HKE68" s="55"/>
      <c r="HKG68" s="55"/>
      <c r="HKI68" s="55"/>
      <c r="HKK68" s="55"/>
      <c r="HKM68" s="55"/>
      <c r="HKO68" s="55"/>
      <c r="HKQ68" s="55"/>
      <c r="HKS68" s="55"/>
      <c r="HKU68" s="55"/>
      <c r="HKW68" s="55"/>
      <c r="HKY68" s="55"/>
      <c r="HLA68" s="55"/>
      <c r="HLC68" s="55"/>
      <c r="HLE68" s="55"/>
      <c r="HLG68" s="55"/>
      <c r="HLI68" s="55"/>
      <c r="HLK68" s="55"/>
      <c r="HLM68" s="55"/>
      <c r="HLO68" s="55"/>
      <c r="HLQ68" s="55"/>
      <c r="HLS68" s="55"/>
      <c r="HLU68" s="55"/>
      <c r="HLW68" s="55"/>
      <c r="HLY68" s="55"/>
      <c r="HMA68" s="55"/>
      <c r="HMC68" s="55"/>
      <c r="HME68" s="55"/>
      <c r="HMG68" s="55"/>
      <c r="HMI68" s="55"/>
      <c r="HMK68" s="55"/>
      <c r="HMM68" s="55"/>
      <c r="HMO68" s="55"/>
      <c r="HMQ68" s="55"/>
      <c r="HMS68" s="55"/>
      <c r="HMU68" s="55"/>
      <c r="HMW68" s="55"/>
      <c r="HMY68" s="55"/>
      <c r="HNA68" s="55"/>
      <c r="HNC68" s="55"/>
      <c r="HNE68" s="55"/>
      <c r="HNG68" s="55"/>
      <c r="HNI68" s="55"/>
      <c r="HNK68" s="55"/>
      <c r="HNM68" s="55"/>
      <c r="HNO68" s="55"/>
      <c r="HNQ68" s="55"/>
      <c r="HNS68" s="55"/>
      <c r="HNU68" s="55"/>
      <c r="HNW68" s="55"/>
      <c r="HNY68" s="55"/>
      <c r="HOA68" s="55"/>
      <c r="HOC68" s="55"/>
      <c r="HOE68" s="55"/>
      <c r="HOG68" s="55"/>
      <c r="HOI68" s="55"/>
      <c r="HOK68" s="55"/>
      <c r="HOM68" s="55"/>
      <c r="HOO68" s="55"/>
      <c r="HOQ68" s="55"/>
      <c r="HOS68" s="55"/>
      <c r="HOU68" s="55"/>
      <c r="HOW68" s="55"/>
      <c r="HOY68" s="55"/>
      <c r="HPA68" s="55"/>
      <c r="HPC68" s="55"/>
      <c r="HPE68" s="55"/>
      <c r="HPG68" s="55"/>
      <c r="HPI68" s="55"/>
      <c r="HPK68" s="55"/>
      <c r="HPM68" s="55"/>
      <c r="HPO68" s="55"/>
      <c r="HPQ68" s="55"/>
      <c r="HPS68" s="55"/>
      <c r="HPU68" s="55"/>
      <c r="HPW68" s="55"/>
      <c r="HPY68" s="55"/>
      <c r="HQA68" s="55"/>
      <c r="HQC68" s="55"/>
      <c r="HQE68" s="55"/>
      <c r="HQG68" s="55"/>
      <c r="HQI68" s="55"/>
      <c r="HQK68" s="55"/>
      <c r="HQM68" s="55"/>
      <c r="HQO68" s="55"/>
      <c r="HQQ68" s="55"/>
      <c r="HQS68" s="55"/>
      <c r="HQU68" s="55"/>
      <c r="HQW68" s="55"/>
      <c r="HQY68" s="55"/>
      <c r="HRA68" s="55"/>
      <c r="HRC68" s="55"/>
      <c r="HRE68" s="55"/>
      <c r="HRG68" s="55"/>
      <c r="HRI68" s="55"/>
      <c r="HRK68" s="55"/>
      <c r="HRM68" s="55"/>
      <c r="HRO68" s="55"/>
      <c r="HRQ68" s="55"/>
      <c r="HRS68" s="55"/>
      <c r="HRU68" s="55"/>
      <c r="HRW68" s="55"/>
      <c r="HRY68" s="55"/>
      <c r="HSA68" s="55"/>
      <c r="HSC68" s="55"/>
      <c r="HSE68" s="55"/>
      <c r="HSG68" s="55"/>
      <c r="HSI68" s="55"/>
      <c r="HSK68" s="55"/>
      <c r="HSM68" s="55"/>
      <c r="HSO68" s="55"/>
      <c r="HSQ68" s="55"/>
      <c r="HSS68" s="55"/>
      <c r="HSU68" s="55"/>
      <c r="HSW68" s="55"/>
      <c r="HSY68" s="55"/>
      <c r="HTA68" s="55"/>
      <c r="HTC68" s="55"/>
      <c r="HTE68" s="55"/>
      <c r="HTG68" s="55"/>
      <c r="HTI68" s="55"/>
      <c r="HTK68" s="55"/>
      <c r="HTM68" s="55"/>
      <c r="HTO68" s="55"/>
      <c r="HTQ68" s="55"/>
      <c r="HTS68" s="55"/>
      <c r="HTU68" s="55"/>
      <c r="HTW68" s="55"/>
      <c r="HTY68" s="55"/>
      <c r="HUA68" s="55"/>
      <c r="HUC68" s="55"/>
      <c r="HUE68" s="55"/>
      <c r="HUG68" s="55"/>
      <c r="HUI68" s="55"/>
      <c r="HUK68" s="55"/>
      <c r="HUM68" s="55"/>
      <c r="HUO68" s="55"/>
      <c r="HUQ68" s="55"/>
      <c r="HUS68" s="55"/>
      <c r="HUU68" s="55"/>
      <c r="HUW68" s="55"/>
      <c r="HUY68" s="55"/>
      <c r="HVA68" s="55"/>
      <c r="HVC68" s="55"/>
      <c r="HVE68" s="55"/>
      <c r="HVG68" s="55"/>
      <c r="HVI68" s="55"/>
      <c r="HVK68" s="55"/>
      <c r="HVM68" s="55"/>
      <c r="HVO68" s="55"/>
      <c r="HVQ68" s="55"/>
      <c r="HVS68" s="55"/>
      <c r="HVU68" s="55"/>
      <c r="HVW68" s="55"/>
      <c r="HVY68" s="55"/>
      <c r="HWA68" s="55"/>
      <c r="HWC68" s="55"/>
      <c r="HWE68" s="55"/>
      <c r="HWG68" s="55"/>
      <c r="HWI68" s="55"/>
      <c r="HWK68" s="55"/>
      <c r="HWM68" s="55"/>
      <c r="HWO68" s="55"/>
      <c r="HWQ68" s="55"/>
      <c r="HWS68" s="55"/>
      <c r="HWU68" s="55"/>
      <c r="HWW68" s="55"/>
      <c r="HWY68" s="55"/>
      <c r="HXA68" s="55"/>
      <c r="HXC68" s="55"/>
      <c r="HXE68" s="55"/>
      <c r="HXG68" s="55"/>
      <c r="HXI68" s="55"/>
      <c r="HXK68" s="55"/>
      <c r="HXM68" s="55"/>
      <c r="HXO68" s="55"/>
      <c r="HXQ68" s="55"/>
      <c r="HXS68" s="55"/>
      <c r="HXU68" s="55"/>
      <c r="HXW68" s="55"/>
      <c r="HXY68" s="55"/>
      <c r="HYA68" s="55"/>
      <c r="HYC68" s="55"/>
      <c r="HYE68" s="55"/>
      <c r="HYG68" s="55"/>
      <c r="HYI68" s="55"/>
      <c r="HYK68" s="55"/>
      <c r="HYM68" s="55"/>
      <c r="HYO68" s="55"/>
      <c r="HYQ68" s="55"/>
      <c r="HYS68" s="55"/>
      <c r="HYU68" s="55"/>
      <c r="HYW68" s="55"/>
      <c r="HYY68" s="55"/>
      <c r="HZA68" s="55"/>
      <c r="HZC68" s="55"/>
      <c r="HZE68" s="55"/>
      <c r="HZG68" s="55"/>
      <c r="HZI68" s="55"/>
      <c r="HZK68" s="55"/>
      <c r="HZM68" s="55"/>
      <c r="HZO68" s="55"/>
      <c r="HZQ68" s="55"/>
      <c r="HZS68" s="55"/>
      <c r="HZU68" s="55"/>
      <c r="HZW68" s="55"/>
      <c r="HZY68" s="55"/>
      <c r="IAA68" s="55"/>
      <c r="IAC68" s="55"/>
      <c r="IAE68" s="55"/>
      <c r="IAG68" s="55"/>
      <c r="IAI68" s="55"/>
      <c r="IAK68" s="55"/>
      <c r="IAM68" s="55"/>
      <c r="IAO68" s="55"/>
      <c r="IAQ68" s="55"/>
      <c r="IAS68" s="55"/>
      <c r="IAU68" s="55"/>
      <c r="IAW68" s="55"/>
      <c r="IAY68" s="55"/>
      <c r="IBA68" s="55"/>
      <c r="IBC68" s="55"/>
      <c r="IBE68" s="55"/>
      <c r="IBG68" s="55"/>
      <c r="IBI68" s="55"/>
      <c r="IBK68" s="55"/>
      <c r="IBM68" s="55"/>
      <c r="IBO68" s="55"/>
      <c r="IBQ68" s="55"/>
      <c r="IBS68" s="55"/>
      <c r="IBU68" s="55"/>
      <c r="IBW68" s="55"/>
      <c r="IBY68" s="55"/>
      <c r="ICA68" s="55"/>
      <c r="ICC68" s="55"/>
      <c r="ICE68" s="55"/>
      <c r="ICG68" s="55"/>
      <c r="ICI68" s="55"/>
      <c r="ICK68" s="55"/>
      <c r="ICM68" s="55"/>
      <c r="ICO68" s="55"/>
      <c r="ICQ68" s="55"/>
      <c r="ICS68" s="55"/>
      <c r="ICU68" s="55"/>
      <c r="ICW68" s="55"/>
      <c r="ICY68" s="55"/>
      <c r="IDA68" s="55"/>
      <c r="IDC68" s="55"/>
      <c r="IDE68" s="55"/>
      <c r="IDG68" s="55"/>
      <c r="IDI68" s="55"/>
      <c r="IDK68" s="55"/>
      <c r="IDM68" s="55"/>
      <c r="IDO68" s="55"/>
      <c r="IDQ68" s="55"/>
      <c r="IDS68" s="55"/>
      <c r="IDU68" s="55"/>
      <c r="IDW68" s="55"/>
      <c r="IDY68" s="55"/>
      <c r="IEA68" s="55"/>
      <c r="IEC68" s="55"/>
      <c r="IEE68" s="55"/>
      <c r="IEG68" s="55"/>
      <c r="IEI68" s="55"/>
      <c r="IEK68" s="55"/>
      <c r="IEM68" s="55"/>
      <c r="IEO68" s="55"/>
      <c r="IEQ68" s="55"/>
      <c r="IES68" s="55"/>
      <c r="IEU68" s="55"/>
      <c r="IEW68" s="55"/>
      <c r="IEY68" s="55"/>
      <c r="IFA68" s="55"/>
      <c r="IFC68" s="55"/>
      <c r="IFE68" s="55"/>
      <c r="IFG68" s="55"/>
      <c r="IFI68" s="55"/>
      <c r="IFK68" s="55"/>
      <c r="IFM68" s="55"/>
      <c r="IFO68" s="55"/>
      <c r="IFQ68" s="55"/>
      <c r="IFS68" s="55"/>
      <c r="IFU68" s="55"/>
      <c r="IFW68" s="55"/>
      <c r="IFY68" s="55"/>
      <c r="IGA68" s="55"/>
      <c r="IGC68" s="55"/>
      <c r="IGE68" s="55"/>
      <c r="IGG68" s="55"/>
      <c r="IGI68" s="55"/>
      <c r="IGK68" s="55"/>
      <c r="IGM68" s="55"/>
      <c r="IGO68" s="55"/>
      <c r="IGQ68" s="55"/>
      <c r="IGS68" s="55"/>
      <c r="IGU68" s="55"/>
      <c r="IGW68" s="55"/>
      <c r="IGY68" s="55"/>
      <c r="IHA68" s="55"/>
      <c r="IHC68" s="55"/>
      <c r="IHE68" s="55"/>
      <c r="IHG68" s="55"/>
      <c r="IHI68" s="55"/>
      <c r="IHK68" s="55"/>
      <c r="IHM68" s="55"/>
      <c r="IHO68" s="55"/>
      <c r="IHQ68" s="55"/>
      <c r="IHS68" s="55"/>
      <c r="IHU68" s="55"/>
      <c r="IHW68" s="55"/>
      <c r="IHY68" s="55"/>
      <c r="IIA68" s="55"/>
      <c r="IIC68" s="55"/>
      <c r="IIE68" s="55"/>
      <c r="IIG68" s="55"/>
      <c r="III68" s="55"/>
      <c r="IIK68" s="55"/>
      <c r="IIM68" s="55"/>
      <c r="IIO68" s="55"/>
      <c r="IIQ68" s="55"/>
      <c r="IIS68" s="55"/>
      <c r="IIU68" s="55"/>
      <c r="IIW68" s="55"/>
      <c r="IIY68" s="55"/>
      <c r="IJA68" s="55"/>
      <c r="IJC68" s="55"/>
      <c r="IJE68" s="55"/>
      <c r="IJG68" s="55"/>
      <c r="IJI68" s="55"/>
      <c r="IJK68" s="55"/>
      <c r="IJM68" s="55"/>
      <c r="IJO68" s="55"/>
      <c r="IJQ68" s="55"/>
      <c r="IJS68" s="55"/>
      <c r="IJU68" s="55"/>
      <c r="IJW68" s="55"/>
      <c r="IJY68" s="55"/>
      <c r="IKA68" s="55"/>
      <c r="IKC68" s="55"/>
      <c r="IKE68" s="55"/>
      <c r="IKG68" s="55"/>
      <c r="IKI68" s="55"/>
      <c r="IKK68" s="55"/>
      <c r="IKM68" s="55"/>
      <c r="IKO68" s="55"/>
      <c r="IKQ68" s="55"/>
      <c r="IKS68" s="55"/>
      <c r="IKU68" s="55"/>
      <c r="IKW68" s="55"/>
      <c r="IKY68" s="55"/>
      <c r="ILA68" s="55"/>
      <c r="ILC68" s="55"/>
      <c r="ILE68" s="55"/>
      <c r="ILG68" s="55"/>
      <c r="ILI68" s="55"/>
      <c r="ILK68" s="55"/>
      <c r="ILM68" s="55"/>
      <c r="ILO68" s="55"/>
      <c r="ILQ68" s="55"/>
      <c r="ILS68" s="55"/>
      <c r="ILU68" s="55"/>
      <c r="ILW68" s="55"/>
      <c r="ILY68" s="55"/>
      <c r="IMA68" s="55"/>
      <c r="IMC68" s="55"/>
      <c r="IME68" s="55"/>
      <c r="IMG68" s="55"/>
      <c r="IMI68" s="55"/>
      <c r="IMK68" s="55"/>
      <c r="IMM68" s="55"/>
      <c r="IMO68" s="55"/>
      <c r="IMQ68" s="55"/>
      <c r="IMS68" s="55"/>
      <c r="IMU68" s="55"/>
      <c r="IMW68" s="55"/>
      <c r="IMY68" s="55"/>
      <c r="INA68" s="55"/>
      <c r="INC68" s="55"/>
      <c r="INE68" s="55"/>
      <c r="ING68" s="55"/>
      <c r="INI68" s="55"/>
      <c r="INK68" s="55"/>
      <c r="INM68" s="55"/>
      <c r="INO68" s="55"/>
      <c r="INQ68" s="55"/>
      <c r="INS68" s="55"/>
      <c r="INU68" s="55"/>
      <c r="INW68" s="55"/>
      <c r="INY68" s="55"/>
      <c r="IOA68" s="55"/>
      <c r="IOC68" s="55"/>
      <c r="IOE68" s="55"/>
      <c r="IOG68" s="55"/>
      <c r="IOI68" s="55"/>
      <c r="IOK68" s="55"/>
      <c r="IOM68" s="55"/>
      <c r="IOO68" s="55"/>
      <c r="IOQ68" s="55"/>
      <c r="IOS68" s="55"/>
      <c r="IOU68" s="55"/>
      <c r="IOW68" s="55"/>
      <c r="IOY68" s="55"/>
      <c r="IPA68" s="55"/>
      <c r="IPC68" s="55"/>
      <c r="IPE68" s="55"/>
      <c r="IPG68" s="55"/>
      <c r="IPI68" s="55"/>
      <c r="IPK68" s="55"/>
      <c r="IPM68" s="55"/>
      <c r="IPO68" s="55"/>
      <c r="IPQ68" s="55"/>
      <c r="IPS68" s="55"/>
      <c r="IPU68" s="55"/>
      <c r="IPW68" s="55"/>
      <c r="IPY68" s="55"/>
      <c r="IQA68" s="55"/>
      <c r="IQC68" s="55"/>
      <c r="IQE68" s="55"/>
      <c r="IQG68" s="55"/>
      <c r="IQI68" s="55"/>
      <c r="IQK68" s="55"/>
      <c r="IQM68" s="55"/>
      <c r="IQO68" s="55"/>
      <c r="IQQ68" s="55"/>
      <c r="IQS68" s="55"/>
      <c r="IQU68" s="55"/>
      <c r="IQW68" s="55"/>
      <c r="IQY68" s="55"/>
      <c r="IRA68" s="55"/>
      <c r="IRC68" s="55"/>
      <c r="IRE68" s="55"/>
      <c r="IRG68" s="55"/>
      <c r="IRI68" s="55"/>
      <c r="IRK68" s="55"/>
      <c r="IRM68" s="55"/>
      <c r="IRO68" s="55"/>
      <c r="IRQ68" s="55"/>
      <c r="IRS68" s="55"/>
      <c r="IRU68" s="55"/>
      <c r="IRW68" s="55"/>
      <c r="IRY68" s="55"/>
      <c r="ISA68" s="55"/>
      <c r="ISC68" s="55"/>
      <c r="ISE68" s="55"/>
      <c r="ISG68" s="55"/>
      <c r="ISI68" s="55"/>
      <c r="ISK68" s="55"/>
      <c r="ISM68" s="55"/>
      <c r="ISO68" s="55"/>
      <c r="ISQ68" s="55"/>
      <c r="ISS68" s="55"/>
      <c r="ISU68" s="55"/>
      <c r="ISW68" s="55"/>
      <c r="ISY68" s="55"/>
      <c r="ITA68" s="55"/>
      <c r="ITC68" s="55"/>
      <c r="ITE68" s="55"/>
      <c r="ITG68" s="55"/>
      <c r="ITI68" s="55"/>
      <c r="ITK68" s="55"/>
      <c r="ITM68" s="55"/>
      <c r="ITO68" s="55"/>
      <c r="ITQ68" s="55"/>
      <c r="ITS68" s="55"/>
      <c r="ITU68" s="55"/>
      <c r="ITW68" s="55"/>
      <c r="ITY68" s="55"/>
      <c r="IUA68" s="55"/>
      <c r="IUC68" s="55"/>
      <c r="IUE68" s="55"/>
      <c r="IUG68" s="55"/>
      <c r="IUI68" s="55"/>
      <c r="IUK68" s="55"/>
      <c r="IUM68" s="55"/>
      <c r="IUO68" s="55"/>
      <c r="IUQ68" s="55"/>
      <c r="IUS68" s="55"/>
      <c r="IUU68" s="55"/>
      <c r="IUW68" s="55"/>
      <c r="IUY68" s="55"/>
      <c r="IVA68" s="55"/>
      <c r="IVC68" s="55"/>
      <c r="IVE68" s="55"/>
      <c r="IVG68" s="55"/>
      <c r="IVI68" s="55"/>
      <c r="IVK68" s="55"/>
      <c r="IVM68" s="55"/>
      <c r="IVO68" s="55"/>
      <c r="IVQ68" s="55"/>
      <c r="IVS68" s="55"/>
      <c r="IVU68" s="55"/>
      <c r="IVW68" s="55"/>
      <c r="IVY68" s="55"/>
      <c r="IWA68" s="55"/>
      <c r="IWC68" s="55"/>
      <c r="IWE68" s="55"/>
      <c r="IWG68" s="55"/>
      <c r="IWI68" s="55"/>
      <c r="IWK68" s="55"/>
      <c r="IWM68" s="55"/>
      <c r="IWO68" s="55"/>
      <c r="IWQ68" s="55"/>
      <c r="IWS68" s="55"/>
      <c r="IWU68" s="55"/>
      <c r="IWW68" s="55"/>
      <c r="IWY68" s="55"/>
      <c r="IXA68" s="55"/>
      <c r="IXC68" s="55"/>
      <c r="IXE68" s="55"/>
      <c r="IXG68" s="55"/>
      <c r="IXI68" s="55"/>
      <c r="IXK68" s="55"/>
      <c r="IXM68" s="55"/>
      <c r="IXO68" s="55"/>
      <c r="IXQ68" s="55"/>
      <c r="IXS68" s="55"/>
      <c r="IXU68" s="55"/>
      <c r="IXW68" s="55"/>
      <c r="IXY68" s="55"/>
      <c r="IYA68" s="55"/>
      <c r="IYC68" s="55"/>
      <c r="IYE68" s="55"/>
      <c r="IYG68" s="55"/>
      <c r="IYI68" s="55"/>
      <c r="IYK68" s="55"/>
      <c r="IYM68" s="55"/>
      <c r="IYO68" s="55"/>
      <c r="IYQ68" s="55"/>
      <c r="IYS68" s="55"/>
      <c r="IYU68" s="55"/>
      <c r="IYW68" s="55"/>
      <c r="IYY68" s="55"/>
      <c r="IZA68" s="55"/>
      <c r="IZC68" s="55"/>
      <c r="IZE68" s="55"/>
      <c r="IZG68" s="55"/>
      <c r="IZI68" s="55"/>
      <c r="IZK68" s="55"/>
      <c r="IZM68" s="55"/>
      <c r="IZO68" s="55"/>
      <c r="IZQ68" s="55"/>
      <c r="IZS68" s="55"/>
      <c r="IZU68" s="55"/>
      <c r="IZW68" s="55"/>
      <c r="IZY68" s="55"/>
      <c r="JAA68" s="55"/>
      <c r="JAC68" s="55"/>
      <c r="JAE68" s="55"/>
      <c r="JAG68" s="55"/>
      <c r="JAI68" s="55"/>
      <c r="JAK68" s="55"/>
      <c r="JAM68" s="55"/>
      <c r="JAO68" s="55"/>
      <c r="JAQ68" s="55"/>
      <c r="JAS68" s="55"/>
      <c r="JAU68" s="55"/>
      <c r="JAW68" s="55"/>
      <c r="JAY68" s="55"/>
      <c r="JBA68" s="55"/>
      <c r="JBC68" s="55"/>
      <c r="JBE68" s="55"/>
      <c r="JBG68" s="55"/>
      <c r="JBI68" s="55"/>
      <c r="JBK68" s="55"/>
      <c r="JBM68" s="55"/>
      <c r="JBO68" s="55"/>
      <c r="JBQ68" s="55"/>
      <c r="JBS68" s="55"/>
      <c r="JBU68" s="55"/>
      <c r="JBW68" s="55"/>
      <c r="JBY68" s="55"/>
      <c r="JCA68" s="55"/>
      <c r="JCC68" s="55"/>
      <c r="JCE68" s="55"/>
      <c r="JCG68" s="55"/>
      <c r="JCI68" s="55"/>
      <c r="JCK68" s="55"/>
      <c r="JCM68" s="55"/>
      <c r="JCO68" s="55"/>
      <c r="JCQ68" s="55"/>
      <c r="JCS68" s="55"/>
      <c r="JCU68" s="55"/>
      <c r="JCW68" s="55"/>
      <c r="JCY68" s="55"/>
      <c r="JDA68" s="55"/>
      <c r="JDC68" s="55"/>
      <c r="JDE68" s="55"/>
      <c r="JDG68" s="55"/>
      <c r="JDI68" s="55"/>
      <c r="JDK68" s="55"/>
      <c r="JDM68" s="55"/>
      <c r="JDO68" s="55"/>
      <c r="JDQ68" s="55"/>
      <c r="JDS68" s="55"/>
      <c r="JDU68" s="55"/>
      <c r="JDW68" s="55"/>
      <c r="JDY68" s="55"/>
      <c r="JEA68" s="55"/>
      <c r="JEC68" s="55"/>
      <c r="JEE68" s="55"/>
      <c r="JEG68" s="55"/>
      <c r="JEI68" s="55"/>
      <c r="JEK68" s="55"/>
      <c r="JEM68" s="55"/>
      <c r="JEO68" s="55"/>
      <c r="JEQ68" s="55"/>
      <c r="JES68" s="55"/>
      <c r="JEU68" s="55"/>
      <c r="JEW68" s="55"/>
      <c r="JEY68" s="55"/>
      <c r="JFA68" s="55"/>
      <c r="JFC68" s="55"/>
      <c r="JFE68" s="55"/>
      <c r="JFG68" s="55"/>
      <c r="JFI68" s="55"/>
      <c r="JFK68" s="55"/>
      <c r="JFM68" s="55"/>
      <c r="JFO68" s="55"/>
      <c r="JFQ68" s="55"/>
      <c r="JFS68" s="55"/>
      <c r="JFU68" s="55"/>
      <c r="JFW68" s="55"/>
      <c r="JFY68" s="55"/>
      <c r="JGA68" s="55"/>
      <c r="JGC68" s="55"/>
      <c r="JGE68" s="55"/>
      <c r="JGG68" s="55"/>
      <c r="JGI68" s="55"/>
      <c r="JGK68" s="55"/>
      <c r="JGM68" s="55"/>
      <c r="JGO68" s="55"/>
      <c r="JGQ68" s="55"/>
      <c r="JGS68" s="55"/>
      <c r="JGU68" s="55"/>
      <c r="JGW68" s="55"/>
      <c r="JGY68" s="55"/>
      <c r="JHA68" s="55"/>
      <c r="JHC68" s="55"/>
      <c r="JHE68" s="55"/>
      <c r="JHG68" s="55"/>
      <c r="JHI68" s="55"/>
      <c r="JHK68" s="55"/>
      <c r="JHM68" s="55"/>
      <c r="JHO68" s="55"/>
      <c r="JHQ68" s="55"/>
      <c r="JHS68" s="55"/>
      <c r="JHU68" s="55"/>
      <c r="JHW68" s="55"/>
      <c r="JHY68" s="55"/>
      <c r="JIA68" s="55"/>
      <c r="JIC68" s="55"/>
      <c r="JIE68" s="55"/>
      <c r="JIG68" s="55"/>
      <c r="JII68" s="55"/>
      <c r="JIK68" s="55"/>
      <c r="JIM68" s="55"/>
      <c r="JIO68" s="55"/>
      <c r="JIQ68" s="55"/>
      <c r="JIS68" s="55"/>
      <c r="JIU68" s="55"/>
      <c r="JIW68" s="55"/>
      <c r="JIY68" s="55"/>
      <c r="JJA68" s="55"/>
      <c r="JJC68" s="55"/>
      <c r="JJE68" s="55"/>
      <c r="JJG68" s="55"/>
      <c r="JJI68" s="55"/>
      <c r="JJK68" s="55"/>
      <c r="JJM68" s="55"/>
      <c r="JJO68" s="55"/>
      <c r="JJQ68" s="55"/>
      <c r="JJS68" s="55"/>
      <c r="JJU68" s="55"/>
      <c r="JJW68" s="55"/>
      <c r="JJY68" s="55"/>
      <c r="JKA68" s="55"/>
      <c r="JKC68" s="55"/>
      <c r="JKE68" s="55"/>
      <c r="JKG68" s="55"/>
      <c r="JKI68" s="55"/>
      <c r="JKK68" s="55"/>
      <c r="JKM68" s="55"/>
      <c r="JKO68" s="55"/>
      <c r="JKQ68" s="55"/>
      <c r="JKS68" s="55"/>
      <c r="JKU68" s="55"/>
      <c r="JKW68" s="55"/>
      <c r="JKY68" s="55"/>
      <c r="JLA68" s="55"/>
      <c r="JLC68" s="55"/>
      <c r="JLE68" s="55"/>
      <c r="JLG68" s="55"/>
      <c r="JLI68" s="55"/>
      <c r="JLK68" s="55"/>
      <c r="JLM68" s="55"/>
      <c r="JLO68" s="55"/>
      <c r="JLQ68" s="55"/>
      <c r="JLS68" s="55"/>
      <c r="JLU68" s="55"/>
      <c r="JLW68" s="55"/>
      <c r="JLY68" s="55"/>
      <c r="JMA68" s="55"/>
      <c r="JMC68" s="55"/>
      <c r="JME68" s="55"/>
      <c r="JMG68" s="55"/>
      <c r="JMI68" s="55"/>
      <c r="JMK68" s="55"/>
      <c r="JMM68" s="55"/>
      <c r="JMO68" s="55"/>
      <c r="JMQ68" s="55"/>
      <c r="JMS68" s="55"/>
      <c r="JMU68" s="55"/>
      <c r="JMW68" s="55"/>
      <c r="JMY68" s="55"/>
      <c r="JNA68" s="55"/>
      <c r="JNC68" s="55"/>
      <c r="JNE68" s="55"/>
      <c r="JNG68" s="55"/>
      <c r="JNI68" s="55"/>
      <c r="JNK68" s="55"/>
      <c r="JNM68" s="55"/>
      <c r="JNO68" s="55"/>
      <c r="JNQ68" s="55"/>
      <c r="JNS68" s="55"/>
      <c r="JNU68" s="55"/>
      <c r="JNW68" s="55"/>
      <c r="JNY68" s="55"/>
      <c r="JOA68" s="55"/>
      <c r="JOC68" s="55"/>
      <c r="JOE68" s="55"/>
      <c r="JOG68" s="55"/>
      <c r="JOI68" s="55"/>
      <c r="JOK68" s="55"/>
      <c r="JOM68" s="55"/>
      <c r="JOO68" s="55"/>
      <c r="JOQ68" s="55"/>
      <c r="JOS68" s="55"/>
      <c r="JOU68" s="55"/>
      <c r="JOW68" s="55"/>
      <c r="JOY68" s="55"/>
      <c r="JPA68" s="55"/>
      <c r="JPC68" s="55"/>
      <c r="JPE68" s="55"/>
      <c r="JPG68" s="55"/>
      <c r="JPI68" s="55"/>
      <c r="JPK68" s="55"/>
      <c r="JPM68" s="55"/>
      <c r="JPO68" s="55"/>
      <c r="JPQ68" s="55"/>
      <c r="JPS68" s="55"/>
      <c r="JPU68" s="55"/>
      <c r="JPW68" s="55"/>
      <c r="JPY68" s="55"/>
      <c r="JQA68" s="55"/>
      <c r="JQC68" s="55"/>
      <c r="JQE68" s="55"/>
      <c r="JQG68" s="55"/>
      <c r="JQI68" s="55"/>
      <c r="JQK68" s="55"/>
      <c r="JQM68" s="55"/>
      <c r="JQO68" s="55"/>
      <c r="JQQ68" s="55"/>
      <c r="JQS68" s="55"/>
      <c r="JQU68" s="55"/>
      <c r="JQW68" s="55"/>
      <c r="JQY68" s="55"/>
      <c r="JRA68" s="55"/>
      <c r="JRC68" s="55"/>
      <c r="JRE68" s="55"/>
      <c r="JRG68" s="55"/>
      <c r="JRI68" s="55"/>
      <c r="JRK68" s="55"/>
      <c r="JRM68" s="55"/>
      <c r="JRO68" s="55"/>
      <c r="JRQ68" s="55"/>
      <c r="JRS68" s="55"/>
      <c r="JRU68" s="55"/>
      <c r="JRW68" s="55"/>
      <c r="JRY68" s="55"/>
      <c r="JSA68" s="55"/>
      <c r="JSC68" s="55"/>
      <c r="JSE68" s="55"/>
      <c r="JSG68" s="55"/>
      <c r="JSI68" s="55"/>
      <c r="JSK68" s="55"/>
      <c r="JSM68" s="55"/>
      <c r="JSO68" s="55"/>
      <c r="JSQ68" s="55"/>
      <c r="JSS68" s="55"/>
      <c r="JSU68" s="55"/>
      <c r="JSW68" s="55"/>
      <c r="JSY68" s="55"/>
      <c r="JTA68" s="55"/>
      <c r="JTC68" s="55"/>
      <c r="JTE68" s="55"/>
      <c r="JTG68" s="55"/>
      <c r="JTI68" s="55"/>
      <c r="JTK68" s="55"/>
      <c r="JTM68" s="55"/>
      <c r="JTO68" s="55"/>
      <c r="JTQ68" s="55"/>
      <c r="JTS68" s="55"/>
      <c r="JTU68" s="55"/>
      <c r="JTW68" s="55"/>
      <c r="JTY68" s="55"/>
      <c r="JUA68" s="55"/>
      <c r="JUC68" s="55"/>
      <c r="JUE68" s="55"/>
      <c r="JUG68" s="55"/>
      <c r="JUI68" s="55"/>
      <c r="JUK68" s="55"/>
      <c r="JUM68" s="55"/>
      <c r="JUO68" s="55"/>
      <c r="JUQ68" s="55"/>
      <c r="JUS68" s="55"/>
      <c r="JUU68" s="55"/>
      <c r="JUW68" s="55"/>
      <c r="JUY68" s="55"/>
      <c r="JVA68" s="55"/>
      <c r="JVC68" s="55"/>
      <c r="JVE68" s="55"/>
      <c r="JVG68" s="55"/>
      <c r="JVI68" s="55"/>
      <c r="JVK68" s="55"/>
      <c r="JVM68" s="55"/>
      <c r="JVO68" s="55"/>
      <c r="JVQ68" s="55"/>
      <c r="JVS68" s="55"/>
      <c r="JVU68" s="55"/>
      <c r="JVW68" s="55"/>
      <c r="JVY68" s="55"/>
      <c r="JWA68" s="55"/>
      <c r="JWC68" s="55"/>
      <c r="JWE68" s="55"/>
      <c r="JWG68" s="55"/>
      <c r="JWI68" s="55"/>
      <c r="JWK68" s="55"/>
      <c r="JWM68" s="55"/>
      <c r="JWO68" s="55"/>
      <c r="JWQ68" s="55"/>
      <c r="JWS68" s="55"/>
      <c r="JWU68" s="55"/>
      <c r="JWW68" s="55"/>
      <c r="JWY68" s="55"/>
      <c r="JXA68" s="55"/>
      <c r="JXC68" s="55"/>
      <c r="JXE68" s="55"/>
      <c r="JXG68" s="55"/>
      <c r="JXI68" s="55"/>
      <c r="JXK68" s="55"/>
      <c r="JXM68" s="55"/>
      <c r="JXO68" s="55"/>
      <c r="JXQ68" s="55"/>
      <c r="JXS68" s="55"/>
      <c r="JXU68" s="55"/>
      <c r="JXW68" s="55"/>
      <c r="JXY68" s="55"/>
      <c r="JYA68" s="55"/>
      <c r="JYC68" s="55"/>
      <c r="JYE68" s="55"/>
      <c r="JYG68" s="55"/>
      <c r="JYI68" s="55"/>
      <c r="JYK68" s="55"/>
      <c r="JYM68" s="55"/>
      <c r="JYO68" s="55"/>
      <c r="JYQ68" s="55"/>
      <c r="JYS68" s="55"/>
      <c r="JYU68" s="55"/>
      <c r="JYW68" s="55"/>
      <c r="JYY68" s="55"/>
      <c r="JZA68" s="55"/>
      <c r="JZC68" s="55"/>
      <c r="JZE68" s="55"/>
      <c r="JZG68" s="55"/>
      <c r="JZI68" s="55"/>
      <c r="JZK68" s="55"/>
      <c r="JZM68" s="55"/>
      <c r="JZO68" s="55"/>
      <c r="JZQ68" s="55"/>
      <c r="JZS68" s="55"/>
      <c r="JZU68" s="55"/>
      <c r="JZW68" s="55"/>
      <c r="JZY68" s="55"/>
      <c r="KAA68" s="55"/>
      <c r="KAC68" s="55"/>
      <c r="KAE68" s="55"/>
      <c r="KAG68" s="55"/>
      <c r="KAI68" s="55"/>
      <c r="KAK68" s="55"/>
      <c r="KAM68" s="55"/>
      <c r="KAO68" s="55"/>
      <c r="KAQ68" s="55"/>
      <c r="KAS68" s="55"/>
      <c r="KAU68" s="55"/>
      <c r="KAW68" s="55"/>
      <c r="KAY68" s="55"/>
      <c r="KBA68" s="55"/>
      <c r="KBC68" s="55"/>
      <c r="KBE68" s="55"/>
      <c r="KBG68" s="55"/>
      <c r="KBI68" s="55"/>
      <c r="KBK68" s="55"/>
      <c r="KBM68" s="55"/>
      <c r="KBO68" s="55"/>
      <c r="KBQ68" s="55"/>
      <c r="KBS68" s="55"/>
      <c r="KBU68" s="55"/>
      <c r="KBW68" s="55"/>
      <c r="KBY68" s="55"/>
      <c r="KCA68" s="55"/>
      <c r="KCC68" s="55"/>
      <c r="KCE68" s="55"/>
      <c r="KCG68" s="55"/>
      <c r="KCI68" s="55"/>
      <c r="KCK68" s="55"/>
      <c r="KCM68" s="55"/>
      <c r="KCO68" s="55"/>
      <c r="KCQ68" s="55"/>
      <c r="KCS68" s="55"/>
      <c r="KCU68" s="55"/>
      <c r="KCW68" s="55"/>
      <c r="KCY68" s="55"/>
      <c r="KDA68" s="55"/>
      <c r="KDC68" s="55"/>
      <c r="KDE68" s="55"/>
      <c r="KDG68" s="55"/>
      <c r="KDI68" s="55"/>
      <c r="KDK68" s="55"/>
      <c r="KDM68" s="55"/>
      <c r="KDO68" s="55"/>
      <c r="KDQ68" s="55"/>
      <c r="KDS68" s="55"/>
      <c r="KDU68" s="55"/>
      <c r="KDW68" s="55"/>
      <c r="KDY68" s="55"/>
      <c r="KEA68" s="55"/>
      <c r="KEC68" s="55"/>
      <c r="KEE68" s="55"/>
      <c r="KEG68" s="55"/>
      <c r="KEI68" s="55"/>
      <c r="KEK68" s="55"/>
      <c r="KEM68" s="55"/>
      <c r="KEO68" s="55"/>
      <c r="KEQ68" s="55"/>
      <c r="KES68" s="55"/>
      <c r="KEU68" s="55"/>
      <c r="KEW68" s="55"/>
      <c r="KEY68" s="55"/>
      <c r="KFA68" s="55"/>
      <c r="KFC68" s="55"/>
      <c r="KFE68" s="55"/>
      <c r="KFG68" s="55"/>
      <c r="KFI68" s="55"/>
      <c r="KFK68" s="55"/>
      <c r="KFM68" s="55"/>
      <c r="KFO68" s="55"/>
      <c r="KFQ68" s="55"/>
      <c r="KFS68" s="55"/>
      <c r="KFU68" s="55"/>
      <c r="KFW68" s="55"/>
      <c r="KFY68" s="55"/>
      <c r="KGA68" s="55"/>
      <c r="KGC68" s="55"/>
      <c r="KGE68" s="55"/>
      <c r="KGG68" s="55"/>
      <c r="KGI68" s="55"/>
      <c r="KGK68" s="55"/>
      <c r="KGM68" s="55"/>
      <c r="KGO68" s="55"/>
      <c r="KGQ68" s="55"/>
      <c r="KGS68" s="55"/>
      <c r="KGU68" s="55"/>
      <c r="KGW68" s="55"/>
      <c r="KGY68" s="55"/>
      <c r="KHA68" s="55"/>
      <c r="KHC68" s="55"/>
      <c r="KHE68" s="55"/>
      <c r="KHG68" s="55"/>
      <c r="KHI68" s="55"/>
      <c r="KHK68" s="55"/>
      <c r="KHM68" s="55"/>
      <c r="KHO68" s="55"/>
      <c r="KHQ68" s="55"/>
      <c r="KHS68" s="55"/>
      <c r="KHU68" s="55"/>
      <c r="KHW68" s="55"/>
      <c r="KHY68" s="55"/>
      <c r="KIA68" s="55"/>
      <c r="KIC68" s="55"/>
      <c r="KIE68" s="55"/>
      <c r="KIG68" s="55"/>
      <c r="KII68" s="55"/>
      <c r="KIK68" s="55"/>
      <c r="KIM68" s="55"/>
      <c r="KIO68" s="55"/>
      <c r="KIQ68" s="55"/>
      <c r="KIS68" s="55"/>
      <c r="KIU68" s="55"/>
      <c r="KIW68" s="55"/>
      <c r="KIY68" s="55"/>
      <c r="KJA68" s="55"/>
      <c r="KJC68" s="55"/>
      <c r="KJE68" s="55"/>
      <c r="KJG68" s="55"/>
      <c r="KJI68" s="55"/>
      <c r="KJK68" s="55"/>
      <c r="KJM68" s="55"/>
      <c r="KJO68" s="55"/>
      <c r="KJQ68" s="55"/>
      <c r="KJS68" s="55"/>
      <c r="KJU68" s="55"/>
      <c r="KJW68" s="55"/>
      <c r="KJY68" s="55"/>
      <c r="KKA68" s="55"/>
      <c r="KKC68" s="55"/>
      <c r="KKE68" s="55"/>
      <c r="KKG68" s="55"/>
      <c r="KKI68" s="55"/>
      <c r="KKK68" s="55"/>
      <c r="KKM68" s="55"/>
      <c r="KKO68" s="55"/>
      <c r="KKQ68" s="55"/>
      <c r="KKS68" s="55"/>
      <c r="KKU68" s="55"/>
      <c r="KKW68" s="55"/>
      <c r="KKY68" s="55"/>
      <c r="KLA68" s="55"/>
      <c r="KLC68" s="55"/>
      <c r="KLE68" s="55"/>
      <c r="KLG68" s="55"/>
      <c r="KLI68" s="55"/>
      <c r="KLK68" s="55"/>
      <c r="KLM68" s="55"/>
      <c r="KLO68" s="55"/>
      <c r="KLQ68" s="55"/>
      <c r="KLS68" s="55"/>
      <c r="KLU68" s="55"/>
      <c r="KLW68" s="55"/>
      <c r="KLY68" s="55"/>
      <c r="KMA68" s="55"/>
      <c r="KMC68" s="55"/>
      <c r="KME68" s="55"/>
      <c r="KMG68" s="55"/>
      <c r="KMI68" s="55"/>
      <c r="KMK68" s="55"/>
      <c r="KMM68" s="55"/>
      <c r="KMO68" s="55"/>
      <c r="KMQ68" s="55"/>
      <c r="KMS68" s="55"/>
      <c r="KMU68" s="55"/>
      <c r="KMW68" s="55"/>
      <c r="KMY68" s="55"/>
      <c r="KNA68" s="55"/>
      <c r="KNC68" s="55"/>
      <c r="KNE68" s="55"/>
      <c r="KNG68" s="55"/>
      <c r="KNI68" s="55"/>
      <c r="KNK68" s="55"/>
      <c r="KNM68" s="55"/>
      <c r="KNO68" s="55"/>
      <c r="KNQ68" s="55"/>
      <c r="KNS68" s="55"/>
      <c r="KNU68" s="55"/>
      <c r="KNW68" s="55"/>
      <c r="KNY68" s="55"/>
      <c r="KOA68" s="55"/>
      <c r="KOC68" s="55"/>
      <c r="KOE68" s="55"/>
      <c r="KOG68" s="55"/>
      <c r="KOI68" s="55"/>
      <c r="KOK68" s="55"/>
      <c r="KOM68" s="55"/>
      <c r="KOO68" s="55"/>
      <c r="KOQ68" s="55"/>
      <c r="KOS68" s="55"/>
      <c r="KOU68" s="55"/>
      <c r="KOW68" s="55"/>
      <c r="KOY68" s="55"/>
      <c r="KPA68" s="55"/>
      <c r="KPC68" s="55"/>
      <c r="KPE68" s="55"/>
      <c r="KPG68" s="55"/>
      <c r="KPI68" s="55"/>
      <c r="KPK68" s="55"/>
      <c r="KPM68" s="55"/>
      <c r="KPO68" s="55"/>
      <c r="KPQ68" s="55"/>
      <c r="KPS68" s="55"/>
      <c r="KPU68" s="55"/>
      <c r="KPW68" s="55"/>
      <c r="KPY68" s="55"/>
      <c r="KQA68" s="55"/>
      <c r="KQC68" s="55"/>
      <c r="KQE68" s="55"/>
      <c r="KQG68" s="55"/>
      <c r="KQI68" s="55"/>
      <c r="KQK68" s="55"/>
      <c r="KQM68" s="55"/>
      <c r="KQO68" s="55"/>
      <c r="KQQ68" s="55"/>
      <c r="KQS68" s="55"/>
      <c r="KQU68" s="55"/>
      <c r="KQW68" s="55"/>
      <c r="KQY68" s="55"/>
      <c r="KRA68" s="55"/>
      <c r="KRC68" s="55"/>
      <c r="KRE68" s="55"/>
      <c r="KRG68" s="55"/>
      <c r="KRI68" s="55"/>
      <c r="KRK68" s="55"/>
      <c r="KRM68" s="55"/>
      <c r="KRO68" s="55"/>
      <c r="KRQ68" s="55"/>
      <c r="KRS68" s="55"/>
      <c r="KRU68" s="55"/>
      <c r="KRW68" s="55"/>
      <c r="KRY68" s="55"/>
      <c r="KSA68" s="55"/>
      <c r="KSC68" s="55"/>
      <c r="KSE68" s="55"/>
      <c r="KSG68" s="55"/>
      <c r="KSI68" s="55"/>
      <c r="KSK68" s="55"/>
      <c r="KSM68" s="55"/>
      <c r="KSO68" s="55"/>
      <c r="KSQ68" s="55"/>
      <c r="KSS68" s="55"/>
      <c r="KSU68" s="55"/>
      <c r="KSW68" s="55"/>
      <c r="KSY68" s="55"/>
      <c r="KTA68" s="55"/>
      <c r="KTC68" s="55"/>
      <c r="KTE68" s="55"/>
      <c r="KTG68" s="55"/>
      <c r="KTI68" s="55"/>
      <c r="KTK68" s="55"/>
      <c r="KTM68" s="55"/>
      <c r="KTO68" s="55"/>
      <c r="KTQ68" s="55"/>
      <c r="KTS68" s="55"/>
      <c r="KTU68" s="55"/>
      <c r="KTW68" s="55"/>
      <c r="KTY68" s="55"/>
      <c r="KUA68" s="55"/>
      <c r="KUC68" s="55"/>
      <c r="KUE68" s="55"/>
      <c r="KUG68" s="55"/>
      <c r="KUI68" s="55"/>
      <c r="KUK68" s="55"/>
      <c r="KUM68" s="55"/>
      <c r="KUO68" s="55"/>
      <c r="KUQ68" s="55"/>
      <c r="KUS68" s="55"/>
      <c r="KUU68" s="55"/>
      <c r="KUW68" s="55"/>
      <c r="KUY68" s="55"/>
      <c r="KVA68" s="55"/>
      <c r="KVC68" s="55"/>
      <c r="KVE68" s="55"/>
      <c r="KVG68" s="55"/>
      <c r="KVI68" s="55"/>
      <c r="KVK68" s="55"/>
      <c r="KVM68" s="55"/>
      <c r="KVO68" s="55"/>
      <c r="KVQ68" s="55"/>
      <c r="KVS68" s="55"/>
      <c r="KVU68" s="55"/>
      <c r="KVW68" s="55"/>
      <c r="KVY68" s="55"/>
      <c r="KWA68" s="55"/>
      <c r="KWC68" s="55"/>
      <c r="KWE68" s="55"/>
      <c r="KWG68" s="55"/>
      <c r="KWI68" s="55"/>
      <c r="KWK68" s="55"/>
      <c r="KWM68" s="55"/>
      <c r="KWO68" s="55"/>
      <c r="KWQ68" s="55"/>
      <c r="KWS68" s="55"/>
      <c r="KWU68" s="55"/>
      <c r="KWW68" s="55"/>
      <c r="KWY68" s="55"/>
      <c r="KXA68" s="55"/>
      <c r="KXC68" s="55"/>
      <c r="KXE68" s="55"/>
      <c r="KXG68" s="55"/>
      <c r="KXI68" s="55"/>
      <c r="KXK68" s="55"/>
      <c r="KXM68" s="55"/>
      <c r="KXO68" s="55"/>
      <c r="KXQ68" s="55"/>
      <c r="KXS68" s="55"/>
      <c r="KXU68" s="55"/>
      <c r="KXW68" s="55"/>
      <c r="KXY68" s="55"/>
      <c r="KYA68" s="55"/>
      <c r="KYC68" s="55"/>
      <c r="KYE68" s="55"/>
      <c r="KYG68" s="55"/>
      <c r="KYI68" s="55"/>
      <c r="KYK68" s="55"/>
      <c r="KYM68" s="55"/>
      <c r="KYO68" s="55"/>
      <c r="KYQ68" s="55"/>
      <c r="KYS68" s="55"/>
      <c r="KYU68" s="55"/>
      <c r="KYW68" s="55"/>
      <c r="KYY68" s="55"/>
      <c r="KZA68" s="55"/>
      <c r="KZC68" s="55"/>
      <c r="KZE68" s="55"/>
      <c r="KZG68" s="55"/>
      <c r="KZI68" s="55"/>
      <c r="KZK68" s="55"/>
      <c r="KZM68" s="55"/>
      <c r="KZO68" s="55"/>
      <c r="KZQ68" s="55"/>
      <c r="KZS68" s="55"/>
      <c r="KZU68" s="55"/>
      <c r="KZW68" s="55"/>
      <c r="KZY68" s="55"/>
      <c r="LAA68" s="55"/>
      <c r="LAC68" s="55"/>
      <c r="LAE68" s="55"/>
      <c r="LAG68" s="55"/>
      <c r="LAI68" s="55"/>
      <c r="LAK68" s="55"/>
      <c r="LAM68" s="55"/>
      <c r="LAO68" s="55"/>
      <c r="LAQ68" s="55"/>
      <c r="LAS68" s="55"/>
      <c r="LAU68" s="55"/>
      <c r="LAW68" s="55"/>
      <c r="LAY68" s="55"/>
      <c r="LBA68" s="55"/>
      <c r="LBC68" s="55"/>
      <c r="LBE68" s="55"/>
      <c r="LBG68" s="55"/>
      <c r="LBI68" s="55"/>
      <c r="LBK68" s="55"/>
      <c r="LBM68" s="55"/>
      <c r="LBO68" s="55"/>
      <c r="LBQ68" s="55"/>
      <c r="LBS68" s="55"/>
      <c r="LBU68" s="55"/>
      <c r="LBW68" s="55"/>
      <c r="LBY68" s="55"/>
      <c r="LCA68" s="55"/>
      <c r="LCC68" s="55"/>
      <c r="LCE68" s="55"/>
      <c r="LCG68" s="55"/>
      <c r="LCI68" s="55"/>
      <c r="LCK68" s="55"/>
      <c r="LCM68" s="55"/>
      <c r="LCO68" s="55"/>
      <c r="LCQ68" s="55"/>
      <c r="LCS68" s="55"/>
      <c r="LCU68" s="55"/>
      <c r="LCW68" s="55"/>
      <c r="LCY68" s="55"/>
      <c r="LDA68" s="55"/>
      <c r="LDC68" s="55"/>
      <c r="LDE68" s="55"/>
      <c r="LDG68" s="55"/>
      <c r="LDI68" s="55"/>
      <c r="LDK68" s="55"/>
      <c r="LDM68" s="55"/>
      <c r="LDO68" s="55"/>
      <c r="LDQ68" s="55"/>
      <c r="LDS68" s="55"/>
      <c r="LDU68" s="55"/>
      <c r="LDW68" s="55"/>
      <c r="LDY68" s="55"/>
      <c r="LEA68" s="55"/>
      <c r="LEC68" s="55"/>
      <c r="LEE68" s="55"/>
      <c r="LEG68" s="55"/>
      <c r="LEI68" s="55"/>
      <c r="LEK68" s="55"/>
      <c r="LEM68" s="55"/>
      <c r="LEO68" s="55"/>
      <c r="LEQ68" s="55"/>
      <c r="LES68" s="55"/>
      <c r="LEU68" s="55"/>
      <c r="LEW68" s="55"/>
      <c r="LEY68" s="55"/>
      <c r="LFA68" s="55"/>
      <c r="LFC68" s="55"/>
      <c r="LFE68" s="55"/>
      <c r="LFG68" s="55"/>
      <c r="LFI68" s="55"/>
      <c r="LFK68" s="55"/>
      <c r="LFM68" s="55"/>
      <c r="LFO68" s="55"/>
      <c r="LFQ68" s="55"/>
      <c r="LFS68" s="55"/>
      <c r="LFU68" s="55"/>
      <c r="LFW68" s="55"/>
      <c r="LFY68" s="55"/>
      <c r="LGA68" s="55"/>
      <c r="LGC68" s="55"/>
      <c r="LGE68" s="55"/>
      <c r="LGG68" s="55"/>
      <c r="LGI68" s="55"/>
      <c r="LGK68" s="55"/>
      <c r="LGM68" s="55"/>
      <c r="LGO68" s="55"/>
      <c r="LGQ68" s="55"/>
      <c r="LGS68" s="55"/>
      <c r="LGU68" s="55"/>
      <c r="LGW68" s="55"/>
      <c r="LGY68" s="55"/>
      <c r="LHA68" s="55"/>
      <c r="LHC68" s="55"/>
      <c r="LHE68" s="55"/>
      <c r="LHG68" s="55"/>
      <c r="LHI68" s="55"/>
      <c r="LHK68" s="55"/>
      <c r="LHM68" s="55"/>
      <c r="LHO68" s="55"/>
      <c r="LHQ68" s="55"/>
      <c r="LHS68" s="55"/>
      <c r="LHU68" s="55"/>
      <c r="LHW68" s="55"/>
      <c r="LHY68" s="55"/>
      <c r="LIA68" s="55"/>
      <c r="LIC68" s="55"/>
      <c r="LIE68" s="55"/>
      <c r="LIG68" s="55"/>
      <c r="LII68" s="55"/>
      <c r="LIK68" s="55"/>
      <c r="LIM68" s="55"/>
      <c r="LIO68" s="55"/>
      <c r="LIQ68" s="55"/>
      <c r="LIS68" s="55"/>
      <c r="LIU68" s="55"/>
      <c r="LIW68" s="55"/>
      <c r="LIY68" s="55"/>
      <c r="LJA68" s="55"/>
      <c r="LJC68" s="55"/>
      <c r="LJE68" s="55"/>
      <c r="LJG68" s="55"/>
      <c r="LJI68" s="55"/>
      <c r="LJK68" s="55"/>
      <c r="LJM68" s="55"/>
      <c r="LJO68" s="55"/>
      <c r="LJQ68" s="55"/>
      <c r="LJS68" s="55"/>
      <c r="LJU68" s="55"/>
      <c r="LJW68" s="55"/>
      <c r="LJY68" s="55"/>
      <c r="LKA68" s="55"/>
      <c r="LKC68" s="55"/>
      <c r="LKE68" s="55"/>
      <c r="LKG68" s="55"/>
      <c r="LKI68" s="55"/>
      <c r="LKK68" s="55"/>
      <c r="LKM68" s="55"/>
      <c r="LKO68" s="55"/>
      <c r="LKQ68" s="55"/>
      <c r="LKS68" s="55"/>
      <c r="LKU68" s="55"/>
      <c r="LKW68" s="55"/>
      <c r="LKY68" s="55"/>
      <c r="LLA68" s="55"/>
      <c r="LLC68" s="55"/>
      <c r="LLE68" s="55"/>
      <c r="LLG68" s="55"/>
      <c r="LLI68" s="55"/>
      <c r="LLK68" s="55"/>
      <c r="LLM68" s="55"/>
      <c r="LLO68" s="55"/>
      <c r="LLQ68" s="55"/>
      <c r="LLS68" s="55"/>
      <c r="LLU68" s="55"/>
      <c r="LLW68" s="55"/>
      <c r="LLY68" s="55"/>
      <c r="LMA68" s="55"/>
      <c r="LMC68" s="55"/>
      <c r="LME68" s="55"/>
      <c r="LMG68" s="55"/>
      <c r="LMI68" s="55"/>
      <c r="LMK68" s="55"/>
      <c r="LMM68" s="55"/>
      <c r="LMO68" s="55"/>
      <c r="LMQ68" s="55"/>
      <c r="LMS68" s="55"/>
      <c r="LMU68" s="55"/>
      <c r="LMW68" s="55"/>
      <c r="LMY68" s="55"/>
      <c r="LNA68" s="55"/>
      <c r="LNC68" s="55"/>
      <c r="LNE68" s="55"/>
      <c r="LNG68" s="55"/>
      <c r="LNI68" s="55"/>
      <c r="LNK68" s="55"/>
      <c r="LNM68" s="55"/>
      <c r="LNO68" s="55"/>
      <c r="LNQ68" s="55"/>
      <c r="LNS68" s="55"/>
      <c r="LNU68" s="55"/>
      <c r="LNW68" s="55"/>
      <c r="LNY68" s="55"/>
      <c r="LOA68" s="55"/>
      <c r="LOC68" s="55"/>
      <c r="LOE68" s="55"/>
      <c r="LOG68" s="55"/>
      <c r="LOI68" s="55"/>
      <c r="LOK68" s="55"/>
      <c r="LOM68" s="55"/>
      <c r="LOO68" s="55"/>
      <c r="LOQ68" s="55"/>
      <c r="LOS68" s="55"/>
      <c r="LOU68" s="55"/>
      <c r="LOW68" s="55"/>
      <c r="LOY68" s="55"/>
      <c r="LPA68" s="55"/>
      <c r="LPC68" s="55"/>
      <c r="LPE68" s="55"/>
      <c r="LPG68" s="55"/>
      <c r="LPI68" s="55"/>
      <c r="LPK68" s="55"/>
      <c r="LPM68" s="55"/>
      <c r="LPO68" s="55"/>
      <c r="LPQ68" s="55"/>
      <c r="LPS68" s="55"/>
      <c r="LPU68" s="55"/>
      <c r="LPW68" s="55"/>
      <c r="LPY68" s="55"/>
      <c r="LQA68" s="55"/>
      <c r="LQC68" s="55"/>
      <c r="LQE68" s="55"/>
      <c r="LQG68" s="55"/>
      <c r="LQI68" s="55"/>
      <c r="LQK68" s="55"/>
      <c r="LQM68" s="55"/>
      <c r="LQO68" s="55"/>
      <c r="LQQ68" s="55"/>
      <c r="LQS68" s="55"/>
      <c r="LQU68" s="55"/>
      <c r="LQW68" s="55"/>
      <c r="LQY68" s="55"/>
      <c r="LRA68" s="55"/>
      <c r="LRC68" s="55"/>
      <c r="LRE68" s="55"/>
      <c r="LRG68" s="55"/>
      <c r="LRI68" s="55"/>
      <c r="LRK68" s="55"/>
      <c r="LRM68" s="55"/>
      <c r="LRO68" s="55"/>
      <c r="LRQ68" s="55"/>
      <c r="LRS68" s="55"/>
      <c r="LRU68" s="55"/>
      <c r="LRW68" s="55"/>
      <c r="LRY68" s="55"/>
      <c r="LSA68" s="55"/>
      <c r="LSC68" s="55"/>
      <c r="LSE68" s="55"/>
      <c r="LSG68" s="55"/>
      <c r="LSI68" s="55"/>
      <c r="LSK68" s="55"/>
      <c r="LSM68" s="55"/>
      <c r="LSO68" s="55"/>
      <c r="LSQ68" s="55"/>
      <c r="LSS68" s="55"/>
      <c r="LSU68" s="55"/>
      <c r="LSW68" s="55"/>
      <c r="LSY68" s="55"/>
      <c r="LTA68" s="55"/>
      <c r="LTC68" s="55"/>
      <c r="LTE68" s="55"/>
      <c r="LTG68" s="55"/>
      <c r="LTI68" s="55"/>
      <c r="LTK68" s="55"/>
      <c r="LTM68" s="55"/>
      <c r="LTO68" s="55"/>
      <c r="LTQ68" s="55"/>
      <c r="LTS68" s="55"/>
      <c r="LTU68" s="55"/>
      <c r="LTW68" s="55"/>
      <c r="LTY68" s="55"/>
      <c r="LUA68" s="55"/>
      <c r="LUC68" s="55"/>
      <c r="LUE68" s="55"/>
      <c r="LUG68" s="55"/>
      <c r="LUI68" s="55"/>
      <c r="LUK68" s="55"/>
      <c r="LUM68" s="55"/>
      <c r="LUO68" s="55"/>
      <c r="LUQ68" s="55"/>
      <c r="LUS68" s="55"/>
      <c r="LUU68" s="55"/>
      <c r="LUW68" s="55"/>
      <c r="LUY68" s="55"/>
      <c r="LVA68" s="55"/>
      <c r="LVC68" s="55"/>
      <c r="LVE68" s="55"/>
      <c r="LVG68" s="55"/>
      <c r="LVI68" s="55"/>
      <c r="LVK68" s="55"/>
      <c r="LVM68" s="55"/>
      <c r="LVO68" s="55"/>
      <c r="LVQ68" s="55"/>
      <c r="LVS68" s="55"/>
      <c r="LVU68" s="55"/>
      <c r="LVW68" s="55"/>
      <c r="LVY68" s="55"/>
      <c r="LWA68" s="55"/>
      <c r="LWC68" s="55"/>
      <c r="LWE68" s="55"/>
      <c r="LWG68" s="55"/>
      <c r="LWI68" s="55"/>
      <c r="LWK68" s="55"/>
      <c r="LWM68" s="55"/>
      <c r="LWO68" s="55"/>
      <c r="LWQ68" s="55"/>
      <c r="LWS68" s="55"/>
      <c r="LWU68" s="55"/>
      <c r="LWW68" s="55"/>
      <c r="LWY68" s="55"/>
      <c r="LXA68" s="55"/>
      <c r="LXC68" s="55"/>
      <c r="LXE68" s="55"/>
      <c r="LXG68" s="55"/>
      <c r="LXI68" s="55"/>
      <c r="LXK68" s="55"/>
      <c r="LXM68" s="55"/>
      <c r="LXO68" s="55"/>
      <c r="LXQ68" s="55"/>
      <c r="LXS68" s="55"/>
      <c r="LXU68" s="55"/>
      <c r="LXW68" s="55"/>
      <c r="LXY68" s="55"/>
      <c r="LYA68" s="55"/>
      <c r="LYC68" s="55"/>
      <c r="LYE68" s="55"/>
      <c r="LYG68" s="55"/>
      <c r="LYI68" s="55"/>
      <c r="LYK68" s="55"/>
      <c r="LYM68" s="55"/>
      <c r="LYO68" s="55"/>
      <c r="LYQ68" s="55"/>
      <c r="LYS68" s="55"/>
      <c r="LYU68" s="55"/>
      <c r="LYW68" s="55"/>
      <c r="LYY68" s="55"/>
      <c r="LZA68" s="55"/>
      <c r="LZC68" s="55"/>
      <c r="LZE68" s="55"/>
      <c r="LZG68" s="55"/>
      <c r="LZI68" s="55"/>
      <c r="LZK68" s="55"/>
      <c r="LZM68" s="55"/>
      <c r="LZO68" s="55"/>
      <c r="LZQ68" s="55"/>
      <c r="LZS68" s="55"/>
      <c r="LZU68" s="55"/>
      <c r="LZW68" s="55"/>
      <c r="LZY68" s="55"/>
      <c r="MAA68" s="55"/>
      <c r="MAC68" s="55"/>
      <c r="MAE68" s="55"/>
      <c r="MAG68" s="55"/>
      <c r="MAI68" s="55"/>
      <c r="MAK68" s="55"/>
      <c r="MAM68" s="55"/>
      <c r="MAO68" s="55"/>
      <c r="MAQ68" s="55"/>
      <c r="MAS68" s="55"/>
      <c r="MAU68" s="55"/>
      <c r="MAW68" s="55"/>
      <c r="MAY68" s="55"/>
      <c r="MBA68" s="55"/>
      <c r="MBC68" s="55"/>
      <c r="MBE68" s="55"/>
      <c r="MBG68" s="55"/>
      <c r="MBI68" s="55"/>
      <c r="MBK68" s="55"/>
      <c r="MBM68" s="55"/>
      <c r="MBO68" s="55"/>
      <c r="MBQ68" s="55"/>
      <c r="MBS68" s="55"/>
      <c r="MBU68" s="55"/>
      <c r="MBW68" s="55"/>
      <c r="MBY68" s="55"/>
      <c r="MCA68" s="55"/>
      <c r="MCC68" s="55"/>
      <c r="MCE68" s="55"/>
      <c r="MCG68" s="55"/>
      <c r="MCI68" s="55"/>
      <c r="MCK68" s="55"/>
      <c r="MCM68" s="55"/>
      <c r="MCO68" s="55"/>
      <c r="MCQ68" s="55"/>
      <c r="MCS68" s="55"/>
      <c r="MCU68" s="55"/>
      <c r="MCW68" s="55"/>
      <c r="MCY68" s="55"/>
      <c r="MDA68" s="55"/>
      <c r="MDC68" s="55"/>
      <c r="MDE68" s="55"/>
      <c r="MDG68" s="55"/>
      <c r="MDI68" s="55"/>
      <c r="MDK68" s="55"/>
      <c r="MDM68" s="55"/>
      <c r="MDO68" s="55"/>
      <c r="MDQ68" s="55"/>
      <c r="MDS68" s="55"/>
      <c r="MDU68" s="55"/>
      <c r="MDW68" s="55"/>
      <c r="MDY68" s="55"/>
      <c r="MEA68" s="55"/>
      <c r="MEC68" s="55"/>
      <c r="MEE68" s="55"/>
      <c r="MEG68" s="55"/>
      <c r="MEI68" s="55"/>
      <c r="MEK68" s="55"/>
      <c r="MEM68" s="55"/>
      <c r="MEO68" s="55"/>
      <c r="MEQ68" s="55"/>
      <c r="MES68" s="55"/>
      <c r="MEU68" s="55"/>
      <c r="MEW68" s="55"/>
      <c r="MEY68" s="55"/>
      <c r="MFA68" s="55"/>
      <c r="MFC68" s="55"/>
      <c r="MFE68" s="55"/>
      <c r="MFG68" s="55"/>
      <c r="MFI68" s="55"/>
      <c r="MFK68" s="55"/>
      <c r="MFM68" s="55"/>
      <c r="MFO68" s="55"/>
      <c r="MFQ68" s="55"/>
      <c r="MFS68" s="55"/>
      <c r="MFU68" s="55"/>
      <c r="MFW68" s="55"/>
      <c r="MFY68" s="55"/>
      <c r="MGA68" s="55"/>
      <c r="MGC68" s="55"/>
      <c r="MGE68" s="55"/>
      <c r="MGG68" s="55"/>
      <c r="MGI68" s="55"/>
      <c r="MGK68" s="55"/>
      <c r="MGM68" s="55"/>
      <c r="MGO68" s="55"/>
      <c r="MGQ68" s="55"/>
      <c r="MGS68" s="55"/>
      <c r="MGU68" s="55"/>
      <c r="MGW68" s="55"/>
      <c r="MGY68" s="55"/>
      <c r="MHA68" s="55"/>
      <c r="MHC68" s="55"/>
      <c r="MHE68" s="55"/>
      <c r="MHG68" s="55"/>
      <c r="MHI68" s="55"/>
      <c r="MHK68" s="55"/>
      <c r="MHM68" s="55"/>
      <c r="MHO68" s="55"/>
      <c r="MHQ68" s="55"/>
      <c r="MHS68" s="55"/>
      <c r="MHU68" s="55"/>
      <c r="MHW68" s="55"/>
      <c r="MHY68" s="55"/>
      <c r="MIA68" s="55"/>
      <c r="MIC68" s="55"/>
      <c r="MIE68" s="55"/>
      <c r="MIG68" s="55"/>
      <c r="MII68" s="55"/>
      <c r="MIK68" s="55"/>
      <c r="MIM68" s="55"/>
      <c r="MIO68" s="55"/>
      <c r="MIQ68" s="55"/>
      <c r="MIS68" s="55"/>
      <c r="MIU68" s="55"/>
      <c r="MIW68" s="55"/>
      <c r="MIY68" s="55"/>
      <c r="MJA68" s="55"/>
      <c r="MJC68" s="55"/>
      <c r="MJE68" s="55"/>
      <c r="MJG68" s="55"/>
      <c r="MJI68" s="55"/>
      <c r="MJK68" s="55"/>
      <c r="MJM68" s="55"/>
      <c r="MJO68" s="55"/>
      <c r="MJQ68" s="55"/>
      <c r="MJS68" s="55"/>
      <c r="MJU68" s="55"/>
      <c r="MJW68" s="55"/>
      <c r="MJY68" s="55"/>
      <c r="MKA68" s="55"/>
      <c r="MKC68" s="55"/>
      <c r="MKE68" s="55"/>
      <c r="MKG68" s="55"/>
      <c r="MKI68" s="55"/>
      <c r="MKK68" s="55"/>
      <c r="MKM68" s="55"/>
      <c r="MKO68" s="55"/>
      <c r="MKQ68" s="55"/>
      <c r="MKS68" s="55"/>
      <c r="MKU68" s="55"/>
      <c r="MKW68" s="55"/>
      <c r="MKY68" s="55"/>
      <c r="MLA68" s="55"/>
      <c r="MLC68" s="55"/>
      <c r="MLE68" s="55"/>
      <c r="MLG68" s="55"/>
      <c r="MLI68" s="55"/>
      <c r="MLK68" s="55"/>
      <c r="MLM68" s="55"/>
      <c r="MLO68" s="55"/>
      <c r="MLQ68" s="55"/>
      <c r="MLS68" s="55"/>
      <c r="MLU68" s="55"/>
      <c r="MLW68" s="55"/>
      <c r="MLY68" s="55"/>
      <c r="MMA68" s="55"/>
      <c r="MMC68" s="55"/>
      <c r="MME68" s="55"/>
      <c r="MMG68" s="55"/>
      <c r="MMI68" s="55"/>
      <c r="MMK68" s="55"/>
      <c r="MMM68" s="55"/>
      <c r="MMO68" s="55"/>
      <c r="MMQ68" s="55"/>
      <c r="MMS68" s="55"/>
      <c r="MMU68" s="55"/>
      <c r="MMW68" s="55"/>
      <c r="MMY68" s="55"/>
      <c r="MNA68" s="55"/>
      <c r="MNC68" s="55"/>
      <c r="MNE68" s="55"/>
      <c r="MNG68" s="55"/>
      <c r="MNI68" s="55"/>
      <c r="MNK68" s="55"/>
      <c r="MNM68" s="55"/>
      <c r="MNO68" s="55"/>
      <c r="MNQ68" s="55"/>
      <c r="MNS68" s="55"/>
      <c r="MNU68" s="55"/>
      <c r="MNW68" s="55"/>
      <c r="MNY68" s="55"/>
      <c r="MOA68" s="55"/>
      <c r="MOC68" s="55"/>
      <c r="MOE68" s="55"/>
      <c r="MOG68" s="55"/>
      <c r="MOI68" s="55"/>
      <c r="MOK68" s="55"/>
      <c r="MOM68" s="55"/>
      <c r="MOO68" s="55"/>
      <c r="MOQ68" s="55"/>
      <c r="MOS68" s="55"/>
      <c r="MOU68" s="55"/>
      <c r="MOW68" s="55"/>
      <c r="MOY68" s="55"/>
      <c r="MPA68" s="55"/>
      <c r="MPC68" s="55"/>
      <c r="MPE68" s="55"/>
      <c r="MPG68" s="55"/>
      <c r="MPI68" s="55"/>
      <c r="MPK68" s="55"/>
      <c r="MPM68" s="55"/>
      <c r="MPO68" s="55"/>
      <c r="MPQ68" s="55"/>
      <c r="MPS68" s="55"/>
      <c r="MPU68" s="55"/>
      <c r="MPW68" s="55"/>
      <c r="MPY68" s="55"/>
      <c r="MQA68" s="55"/>
      <c r="MQC68" s="55"/>
      <c r="MQE68" s="55"/>
      <c r="MQG68" s="55"/>
      <c r="MQI68" s="55"/>
      <c r="MQK68" s="55"/>
      <c r="MQM68" s="55"/>
      <c r="MQO68" s="55"/>
      <c r="MQQ68" s="55"/>
      <c r="MQS68" s="55"/>
      <c r="MQU68" s="55"/>
      <c r="MQW68" s="55"/>
      <c r="MQY68" s="55"/>
      <c r="MRA68" s="55"/>
      <c r="MRC68" s="55"/>
      <c r="MRE68" s="55"/>
      <c r="MRG68" s="55"/>
      <c r="MRI68" s="55"/>
      <c r="MRK68" s="55"/>
      <c r="MRM68" s="55"/>
      <c r="MRO68" s="55"/>
      <c r="MRQ68" s="55"/>
      <c r="MRS68" s="55"/>
      <c r="MRU68" s="55"/>
      <c r="MRW68" s="55"/>
      <c r="MRY68" s="55"/>
      <c r="MSA68" s="55"/>
      <c r="MSC68" s="55"/>
      <c r="MSE68" s="55"/>
      <c r="MSG68" s="55"/>
      <c r="MSI68" s="55"/>
      <c r="MSK68" s="55"/>
      <c r="MSM68" s="55"/>
      <c r="MSO68" s="55"/>
      <c r="MSQ68" s="55"/>
      <c r="MSS68" s="55"/>
      <c r="MSU68" s="55"/>
      <c r="MSW68" s="55"/>
      <c r="MSY68" s="55"/>
      <c r="MTA68" s="55"/>
      <c r="MTC68" s="55"/>
      <c r="MTE68" s="55"/>
      <c r="MTG68" s="55"/>
      <c r="MTI68" s="55"/>
      <c r="MTK68" s="55"/>
      <c r="MTM68" s="55"/>
      <c r="MTO68" s="55"/>
      <c r="MTQ68" s="55"/>
      <c r="MTS68" s="55"/>
      <c r="MTU68" s="55"/>
      <c r="MTW68" s="55"/>
      <c r="MTY68" s="55"/>
      <c r="MUA68" s="55"/>
      <c r="MUC68" s="55"/>
      <c r="MUE68" s="55"/>
      <c r="MUG68" s="55"/>
      <c r="MUI68" s="55"/>
      <c r="MUK68" s="55"/>
      <c r="MUM68" s="55"/>
      <c r="MUO68" s="55"/>
      <c r="MUQ68" s="55"/>
      <c r="MUS68" s="55"/>
      <c r="MUU68" s="55"/>
      <c r="MUW68" s="55"/>
      <c r="MUY68" s="55"/>
      <c r="MVA68" s="55"/>
      <c r="MVC68" s="55"/>
      <c r="MVE68" s="55"/>
      <c r="MVG68" s="55"/>
      <c r="MVI68" s="55"/>
      <c r="MVK68" s="55"/>
      <c r="MVM68" s="55"/>
      <c r="MVO68" s="55"/>
      <c r="MVQ68" s="55"/>
      <c r="MVS68" s="55"/>
      <c r="MVU68" s="55"/>
      <c r="MVW68" s="55"/>
      <c r="MVY68" s="55"/>
      <c r="MWA68" s="55"/>
      <c r="MWC68" s="55"/>
      <c r="MWE68" s="55"/>
      <c r="MWG68" s="55"/>
      <c r="MWI68" s="55"/>
      <c r="MWK68" s="55"/>
      <c r="MWM68" s="55"/>
      <c r="MWO68" s="55"/>
      <c r="MWQ68" s="55"/>
      <c r="MWS68" s="55"/>
      <c r="MWU68" s="55"/>
      <c r="MWW68" s="55"/>
      <c r="MWY68" s="55"/>
      <c r="MXA68" s="55"/>
      <c r="MXC68" s="55"/>
      <c r="MXE68" s="55"/>
      <c r="MXG68" s="55"/>
      <c r="MXI68" s="55"/>
      <c r="MXK68" s="55"/>
      <c r="MXM68" s="55"/>
      <c r="MXO68" s="55"/>
      <c r="MXQ68" s="55"/>
      <c r="MXS68" s="55"/>
      <c r="MXU68" s="55"/>
      <c r="MXW68" s="55"/>
      <c r="MXY68" s="55"/>
      <c r="MYA68" s="55"/>
      <c r="MYC68" s="55"/>
      <c r="MYE68" s="55"/>
      <c r="MYG68" s="55"/>
      <c r="MYI68" s="55"/>
      <c r="MYK68" s="55"/>
      <c r="MYM68" s="55"/>
      <c r="MYO68" s="55"/>
      <c r="MYQ68" s="55"/>
      <c r="MYS68" s="55"/>
      <c r="MYU68" s="55"/>
      <c r="MYW68" s="55"/>
      <c r="MYY68" s="55"/>
      <c r="MZA68" s="55"/>
      <c r="MZC68" s="55"/>
      <c r="MZE68" s="55"/>
      <c r="MZG68" s="55"/>
      <c r="MZI68" s="55"/>
      <c r="MZK68" s="55"/>
      <c r="MZM68" s="55"/>
      <c r="MZO68" s="55"/>
      <c r="MZQ68" s="55"/>
      <c r="MZS68" s="55"/>
      <c r="MZU68" s="55"/>
      <c r="MZW68" s="55"/>
      <c r="MZY68" s="55"/>
      <c r="NAA68" s="55"/>
      <c r="NAC68" s="55"/>
      <c r="NAE68" s="55"/>
      <c r="NAG68" s="55"/>
      <c r="NAI68" s="55"/>
      <c r="NAK68" s="55"/>
      <c r="NAM68" s="55"/>
      <c r="NAO68" s="55"/>
      <c r="NAQ68" s="55"/>
      <c r="NAS68" s="55"/>
      <c r="NAU68" s="55"/>
      <c r="NAW68" s="55"/>
      <c r="NAY68" s="55"/>
      <c r="NBA68" s="55"/>
      <c r="NBC68" s="55"/>
      <c r="NBE68" s="55"/>
      <c r="NBG68" s="55"/>
      <c r="NBI68" s="55"/>
      <c r="NBK68" s="55"/>
      <c r="NBM68" s="55"/>
      <c r="NBO68" s="55"/>
      <c r="NBQ68" s="55"/>
      <c r="NBS68" s="55"/>
      <c r="NBU68" s="55"/>
      <c r="NBW68" s="55"/>
      <c r="NBY68" s="55"/>
      <c r="NCA68" s="55"/>
      <c r="NCC68" s="55"/>
      <c r="NCE68" s="55"/>
      <c r="NCG68" s="55"/>
      <c r="NCI68" s="55"/>
      <c r="NCK68" s="55"/>
      <c r="NCM68" s="55"/>
      <c r="NCO68" s="55"/>
      <c r="NCQ68" s="55"/>
      <c r="NCS68" s="55"/>
      <c r="NCU68" s="55"/>
      <c r="NCW68" s="55"/>
      <c r="NCY68" s="55"/>
      <c r="NDA68" s="55"/>
      <c r="NDC68" s="55"/>
      <c r="NDE68" s="55"/>
      <c r="NDG68" s="55"/>
      <c r="NDI68" s="55"/>
      <c r="NDK68" s="55"/>
      <c r="NDM68" s="55"/>
      <c r="NDO68" s="55"/>
      <c r="NDQ68" s="55"/>
      <c r="NDS68" s="55"/>
      <c r="NDU68" s="55"/>
      <c r="NDW68" s="55"/>
      <c r="NDY68" s="55"/>
      <c r="NEA68" s="55"/>
      <c r="NEC68" s="55"/>
      <c r="NEE68" s="55"/>
      <c r="NEG68" s="55"/>
      <c r="NEI68" s="55"/>
      <c r="NEK68" s="55"/>
      <c r="NEM68" s="55"/>
      <c r="NEO68" s="55"/>
      <c r="NEQ68" s="55"/>
      <c r="NES68" s="55"/>
      <c r="NEU68" s="55"/>
      <c r="NEW68" s="55"/>
      <c r="NEY68" s="55"/>
      <c r="NFA68" s="55"/>
      <c r="NFC68" s="55"/>
      <c r="NFE68" s="55"/>
      <c r="NFG68" s="55"/>
      <c r="NFI68" s="55"/>
      <c r="NFK68" s="55"/>
      <c r="NFM68" s="55"/>
      <c r="NFO68" s="55"/>
      <c r="NFQ68" s="55"/>
      <c r="NFS68" s="55"/>
      <c r="NFU68" s="55"/>
      <c r="NFW68" s="55"/>
      <c r="NFY68" s="55"/>
      <c r="NGA68" s="55"/>
      <c r="NGC68" s="55"/>
      <c r="NGE68" s="55"/>
      <c r="NGG68" s="55"/>
      <c r="NGI68" s="55"/>
      <c r="NGK68" s="55"/>
      <c r="NGM68" s="55"/>
      <c r="NGO68" s="55"/>
      <c r="NGQ68" s="55"/>
      <c r="NGS68" s="55"/>
      <c r="NGU68" s="55"/>
      <c r="NGW68" s="55"/>
      <c r="NGY68" s="55"/>
      <c r="NHA68" s="55"/>
      <c r="NHC68" s="55"/>
      <c r="NHE68" s="55"/>
      <c r="NHG68" s="55"/>
      <c r="NHI68" s="55"/>
      <c r="NHK68" s="55"/>
      <c r="NHM68" s="55"/>
      <c r="NHO68" s="55"/>
      <c r="NHQ68" s="55"/>
      <c r="NHS68" s="55"/>
      <c r="NHU68" s="55"/>
      <c r="NHW68" s="55"/>
      <c r="NHY68" s="55"/>
      <c r="NIA68" s="55"/>
      <c r="NIC68" s="55"/>
      <c r="NIE68" s="55"/>
      <c r="NIG68" s="55"/>
      <c r="NII68" s="55"/>
      <c r="NIK68" s="55"/>
      <c r="NIM68" s="55"/>
      <c r="NIO68" s="55"/>
      <c r="NIQ68" s="55"/>
      <c r="NIS68" s="55"/>
      <c r="NIU68" s="55"/>
      <c r="NIW68" s="55"/>
      <c r="NIY68" s="55"/>
      <c r="NJA68" s="55"/>
      <c r="NJC68" s="55"/>
      <c r="NJE68" s="55"/>
      <c r="NJG68" s="55"/>
      <c r="NJI68" s="55"/>
      <c r="NJK68" s="55"/>
      <c r="NJM68" s="55"/>
      <c r="NJO68" s="55"/>
      <c r="NJQ68" s="55"/>
      <c r="NJS68" s="55"/>
      <c r="NJU68" s="55"/>
      <c r="NJW68" s="55"/>
      <c r="NJY68" s="55"/>
      <c r="NKA68" s="55"/>
      <c r="NKC68" s="55"/>
      <c r="NKE68" s="55"/>
      <c r="NKG68" s="55"/>
      <c r="NKI68" s="55"/>
      <c r="NKK68" s="55"/>
      <c r="NKM68" s="55"/>
      <c r="NKO68" s="55"/>
      <c r="NKQ68" s="55"/>
      <c r="NKS68" s="55"/>
      <c r="NKU68" s="55"/>
      <c r="NKW68" s="55"/>
      <c r="NKY68" s="55"/>
      <c r="NLA68" s="55"/>
      <c r="NLC68" s="55"/>
      <c r="NLE68" s="55"/>
      <c r="NLG68" s="55"/>
      <c r="NLI68" s="55"/>
      <c r="NLK68" s="55"/>
      <c r="NLM68" s="55"/>
      <c r="NLO68" s="55"/>
      <c r="NLQ68" s="55"/>
      <c r="NLS68" s="55"/>
      <c r="NLU68" s="55"/>
      <c r="NLW68" s="55"/>
      <c r="NLY68" s="55"/>
      <c r="NMA68" s="55"/>
      <c r="NMC68" s="55"/>
      <c r="NME68" s="55"/>
      <c r="NMG68" s="55"/>
      <c r="NMI68" s="55"/>
      <c r="NMK68" s="55"/>
      <c r="NMM68" s="55"/>
      <c r="NMO68" s="55"/>
      <c r="NMQ68" s="55"/>
      <c r="NMS68" s="55"/>
      <c r="NMU68" s="55"/>
      <c r="NMW68" s="55"/>
      <c r="NMY68" s="55"/>
      <c r="NNA68" s="55"/>
      <c r="NNC68" s="55"/>
      <c r="NNE68" s="55"/>
      <c r="NNG68" s="55"/>
      <c r="NNI68" s="55"/>
      <c r="NNK68" s="55"/>
      <c r="NNM68" s="55"/>
      <c r="NNO68" s="55"/>
      <c r="NNQ68" s="55"/>
      <c r="NNS68" s="55"/>
      <c r="NNU68" s="55"/>
      <c r="NNW68" s="55"/>
      <c r="NNY68" s="55"/>
      <c r="NOA68" s="55"/>
      <c r="NOC68" s="55"/>
      <c r="NOE68" s="55"/>
      <c r="NOG68" s="55"/>
      <c r="NOI68" s="55"/>
      <c r="NOK68" s="55"/>
      <c r="NOM68" s="55"/>
      <c r="NOO68" s="55"/>
      <c r="NOQ68" s="55"/>
      <c r="NOS68" s="55"/>
      <c r="NOU68" s="55"/>
      <c r="NOW68" s="55"/>
      <c r="NOY68" s="55"/>
      <c r="NPA68" s="55"/>
      <c r="NPC68" s="55"/>
      <c r="NPE68" s="55"/>
      <c r="NPG68" s="55"/>
      <c r="NPI68" s="55"/>
      <c r="NPK68" s="55"/>
      <c r="NPM68" s="55"/>
      <c r="NPO68" s="55"/>
      <c r="NPQ68" s="55"/>
      <c r="NPS68" s="55"/>
      <c r="NPU68" s="55"/>
      <c r="NPW68" s="55"/>
      <c r="NPY68" s="55"/>
      <c r="NQA68" s="55"/>
      <c r="NQC68" s="55"/>
      <c r="NQE68" s="55"/>
      <c r="NQG68" s="55"/>
      <c r="NQI68" s="55"/>
      <c r="NQK68" s="55"/>
      <c r="NQM68" s="55"/>
      <c r="NQO68" s="55"/>
      <c r="NQQ68" s="55"/>
      <c r="NQS68" s="55"/>
      <c r="NQU68" s="55"/>
      <c r="NQW68" s="55"/>
      <c r="NQY68" s="55"/>
      <c r="NRA68" s="55"/>
      <c r="NRC68" s="55"/>
      <c r="NRE68" s="55"/>
      <c r="NRG68" s="55"/>
      <c r="NRI68" s="55"/>
      <c r="NRK68" s="55"/>
      <c r="NRM68" s="55"/>
      <c r="NRO68" s="55"/>
      <c r="NRQ68" s="55"/>
      <c r="NRS68" s="55"/>
      <c r="NRU68" s="55"/>
      <c r="NRW68" s="55"/>
      <c r="NRY68" s="55"/>
      <c r="NSA68" s="55"/>
      <c r="NSC68" s="55"/>
      <c r="NSE68" s="55"/>
      <c r="NSG68" s="55"/>
      <c r="NSI68" s="55"/>
      <c r="NSK68" s="55"/>
      <c r="NSM68" s="55"/>
      <c r="NSO68" s="55"/>
      <c r="NSQ68" s="55"/>
      <c r="NSS68" s="55"/>
      <c r="NSU68" s="55"/>
      <c r="NSW68" s="55"/>
      <c r="NSY68" s="55"/>
      <c r="NTA68" s="55"/>
      <c r="NTC68" s="55"/>
      <c r="NTE68" s="55"/>
      <c r="NTG68" s="55"/>
      <c r="NTI68" s="55"/>
      <c r="NTK68" s="55"/>
      <c r="NTM68" s="55"/>
      <c r="NTO68" s="55"/>
      <c r="NTQ68" s="55"/>
      <c r="NTS68" s="55"/>
      <c r="NTU68" s="55"/>
      <c r="NTW68" s="55"/>
      <c r="NTY68" s="55"/>
      <c r="NUA68" s="55"/>
      <c r="NUC68" s="55"/>
      <c r="NUE68" s="55"/>
      <c r="NUG68" s="55"/>
      <c r="NUI68" s="55"/>
      <c r="NUK68" s="55"/>
      <c r="NUM68" s="55"/>
      <c r="NUO68" s="55"/>
      <c r="NUQ68" s="55"/>
      <c r="NUS68" s="55"/>
      <c r="NUU68" s="55"/>
      <c r="NUW68" s="55"/>
      <c r="NUY68" s="55"/>
      <c r="NVA68" s="55"/>
      <c r="NVC68" s="55"/>
      <c r="NVE68" s="55"/>
      <c r="NVG68" s="55"/>
      <c r="NVI68" s="55"/>
      <c r="NVK68" s="55"/>
      <c r="NVM68" s="55"/>
      <c r="NVO68" s="55"/>
      <c r="NVQ68" s="55"/>
      <c r="NVS68" s="55"/>
      <c r="NVU68" s="55"/>
      <c r="NVW68" s="55"/>
      <c r="NVY68" s="55"/>
      <c r="NWA68" s="55"/>
      <c r="NWC68" s="55"/>
      <c r="NWE68" s="55"/>
      <c r="NWG68" s="55"/>
      <c r="NWI68" s="55"/>
      <c r="NWK68" s="55"/>
      <c r="NWM68" s="55"/>
      <c r="NWO68" s="55"/>
      <c r="NWQ68" s="55"/>
      <c r="NWS68" s="55"/>
      <c r="NWU68" s="55"/>
      <c r="NWW68" s="55"/>
      <c r="NWY68" s="55"/>
      <c r="NXA68" s="55"/>
      <c r="NXC68" s="55"/>
      <c r="NXE68" s="55"/>
      <c r="NXG68" s="55"/>
      <c r="NXI68" s="55"/>
      <c r="NXK68" s="55"/>
      <c r="NXM68" s="55"/>
      <c r="NXO68" s="55"/>
      <c r="NXQ68" s="55"/>
      <c r="NXS68" s="55"/>
      <c r="NXU68" s="55"/>
      <c r="NXW68" s="55"/>
      <c r="NXY68" s="55"/>
      <c r="NYA68" s="55"/>
      <c r="NYC68" s="55"/>
      <c r="NYE68" s="55"/>
      <c r="NYG68" s="55"/>
      <c r="NYI68" s="55"/>
      <c r="NYK68" s="55"/>
      <c r="NYM68" s="55"/>
      <c r="NYO68" s="55"/>
      <c r="NYQ68" s="55"/>
      <c r="NYS68" s="55"/>
      <c r="NYU68" s="55"/>
      <c r="NYW68" s="55"/>
      <c r="NYY68" s="55"/>
      <c r="NZA68" s="55"/>
      <c r="NZC68" s="55"/>
      <c r="NZE68" s="55"/>
      <c r="NZG68" s="55"/>
      <c r="NZI68" s="55"/>
      <c r="NZK68" s="55"/>
      <c r="NZM68" s="55"/>
      <c r="NZO68" s="55"/>
      <c r="NZQ68" s="55"/>
      <c r="NZS68" s="55"/>
      <c r="NZU68" s="55"/>
      <c r="NZW68" s="55"/>
      <c r="NZY68" s="55"/>
      <c r="OAA68" s="55"/>
      <c r="OAC68" s="55"/>
      <c r="OAE68" s="55"/>
      <c r="OAG68" s="55"/>
      <c r="OAI68" s="55"/>
      <c r="OAK68" s="55"/>
      <c r="OAM68" s="55"/>
      <c r="OAO68" s="55"/>
      <c r="OAQ68" s="55"/>
      <c r="OAS68" s="55"/>
      <c r="OAU68" s="55"/>
      <c r="OAW68" s="55"/>
      <c r="OAY68" s="55"/>
      <c r="OBA68" s="55"/>
      <c r="OBC68" s="55"/>
      <c r="OBE68" s="55"/>
      <c r="OBG68" s="55"/>
      <c r="OBI68" s="55"/>
      <c r="OBK68" s="55"/>
      <c r="OBM68" s="55"/>
      <c r="OBO68" s="55"/>
      <c r="OBQ68" s="55"/>
      <c r="OBS68" s="55"/>
      <c r="OBU68" s="55"/>
      <c r="OBW68" s="55"/>
      <c r="OBY68" s="55"/>
      <c r="OCA68" s="55"/>
      <c r="OCC68" s="55"/>
      <c r="OCE68" s="55"/>
      <c r="OCG68" s="55"/>
      <c r="OCI68" s="55"/>
      <c r="OCK68" s="55"/>
      <c r="OCM68" s="55"/>
      <c r="OCO68" s="55"/>
      <c r="OCQ68" s="55"/>
      <c r="OCS68" s="55"/>
      <c r="OCU68" s="55"/>
      <c r="OCW68" s="55"/>
      <c r="OCY68" s="55"/>
      <c r="ODA68" s="55"/>
      <c r="ODC68" s="55"/>
      <c r="ODE68" s="55"/>
      <c r="ODG68" s="55"/>
      <c r="ODI68" s="55"/>
      <c r="ODK68" s="55"/>
      <c r="ODM68" s="55"/>
      <c r="ODO68" s="55"/>
      <c r="ODQ68" s="55"/>
      <c r="ODS68" s="55"/>
      <c r="ODU68" s="55"/>
      <c r="ODW68" s="55"/>
      <c r="ODY68" s="55"/>
      <c r="OEA68" s="55"/>
      <c r="OEC68" s="55"/>
      <c r="OEE68" s="55"/>
      <c r="OEG68" s="55"/>
      <c r="OEI68" s="55"/>
      <c r="OEK68" s="55"/>
      <c r="OEM68" s="55"/>
      <c r="OEO68" s="55"/>
      <c r="OEQ68" s="55"/>
      <c r="OES68" s="55"/>
      <c r="OEU68" s="55"/>
      <c r="OEW68" s="55"/>
      <c r="OEY68" s="55"/>
      <c r="OFA68" s="55"/>
      <c r="OFC68" s="55"/>
      <c r="OFE68" s="55"/>
      <c r="OFG68" s="55"/>
      <c r="OFI68" s="55"/>
      <c r="OFK68" s="55"/>
      <c r="OFM68" s="55"/>
      <c r="OFO68" s="55"/>
      <c r="OFQ68" s="55"/>
      <c r="OFS68" s="55"/>
      <c r="OFU68" s="55"/>
      <c r="OFW68" s="55"/>
      <c r="OFY68" s="55"/>
      <c r="OGA68" s="55"/>
      <c r="OGC68" s="55"/>
      <c r="OGE68" s="55"/>
      <c r="OGG68" s="55"/>
      <c r="OGI68" s="55"/>
      <c r="OGK68" s="55"/>
      <c r="OGM68" s="55"/>
      <c r="OGO68" s="55"/>
      <c r="OGQ68" s="55"/>
      <c r="OGS68" s="55"/>
      <c r="OGU68" s="55"/>
      <c r="OGW68" s="55"/>
      <c r="OGY68" s="55"/>
      <c r="OHA68" s="55"/>
      <c r="OHC68" s="55"/>
      <c r="OHE68" s="55"/>
      <c r="OHG68" s="55"/>
      <c r="OHI68" s="55"/>
      <c r="OHK68" s="55"/>
      <c r="OHM68" s="55"/>
      <c r="OHO68" s="55"/>
      <c r="OHQ68" s="55"/>
      <c r="OHS68" s="55"/>
      <c r="OHU68" s="55"/>
      <c r="OHW68" s="55"/>
      <c r="OHY68" s="55"/>
      <c r="OIA68" s="55"/>
      <c r="OIC68" s="55"/>
      <c r="OIE68" s="55"/>
      <c r="OIG68" s="55"/>
      <c r="OII68" s="55"/>
      <c r="OIK68" s="55"/>
      <c r="OIM68" s="55"/>
      <c r="OIO68" s="55"/>
      <c r="OIQ68" s="55"/>
      <c r="OIS68" s="55"/>
      <c r="OIU68" s="55"/>
      <c r="OIW68" s="55"/>
      <c r="OIY68" s="55"/>
      <c r="OJA68" s="55"/>
      <c r="OJC68" s="55"/>
      <c r="OJE68" s="55"/>
      <c r="OJG68" s="55"/>
      <c r="OJI68" s="55"/>
      <c r="OJK68" s="55"/>
      <c r="OJM68" s="55"/>
      <c r="OJO68" s="55"/>
      <c r="OJQ68" s="55"/>
      <c r="OJS68" s="55"/>
      <c r="OJU68" s="55"/>
      <c r="OJW68" s="55"/>
      <c r="OJY68" s="55"/>
      <c r="OKA68" s="55"/>
      <c r="OKC68" s="55"/>
      <c r="OKE68" s="55"/>
      <c r="OKG68" s="55"/>
      <c r="OKI68" s="55"/>
      <c r="OKK68" s="55"/>
      <c r="OKM68" s="55"/>
      <c r="OKO68" s="55"/>
      <c r="OKQ68" s="55"/>
      <c r="OKS68" s="55"/>
      <c r="OKU68" s="55"/>
      <c r="OKW68" s="55"/>
      <c r="OKY68" s="55"/>
      <c r="OLA68" s="55"/>
      <c r="OLC68" s="55"/>
      <c r="OLE68" s="55"/>
      <c r="OLG68" s="55"/>
      <c r="OLI68" s="55"/>
      <c r="OLK68" s="55"/>
      <c r="OLM68" s="55"/>
      <c r="OLO68" s="55"/>
      <c r="OLQ68" s="55"/>
      <c r="OLS68" s="55"/>
      <c r="OLU68" s="55"/>
      <c r="OLW68" s="55"/>
      <c r="OLY68" s="55"/>
      <c r="OMA68" s="55"/>
      <c r="OMC68" s="55"/>
      <c r="OME68" s="55"/>
      <c r="OMG68" s="55"/>
      <c r="OMI68" s="55"/>
      <c r="OMK68" s="55"/>
      <c r="OMM68" s="55"/>
      <c r="OMO68" s="55"/>
      <c r="OMQ68" s="55"/>
      <c r="OMS68" s="55"/>
      <c r="OMU68" s="55"/>
      <c r="OMW68" s="55"/>
      <c r="OMY68" s="55"/>
      <c r="ONA68" s="55"/>
      <c r="ONC68" s="55"/>
      <c r="ONE68" s="55"/>
      <c r="ONG68" s="55"/>
      <c r="ONI68" s="55"/>
      <c r="ONK68" s="55"/>
      <c r="ONM68" s="55"/>
      <c r="ONO68" s="55"/>
      <c r="ONQ68" s="55"/>
      <c r="ONS68" s="55"/>
      <c r="ONU68" s="55"/>
      <c r="ONW68" s="55"/>
      <c r="ONY68" s="55"/>
      <c r="OOA68" s="55"/>
      <c r="OOC68" s="55"/>
      <c r="OOE68" s="55"/>
      <c r="OOG68" s="55"/>
      <c r="OOI68" s="55"/>
      <c r="OOK68" s="55"/>
      <c r="OOM68" s="55"/>
      <c r="OOO68" s="55"/>
      <c r="OOQ68" s="55"/>
      <c r="OOS68" s="55"/>
      <c r="OOU68" s="55"/>
      <c r="OOW68" s="55"/>
      <c r="OOY68" s="55"/>
      <c r="OPA68" s="55"/>
      <c r="OPC68" s="55"/>
      <c r="OPE68" s="55"/>
      <c r="OPG68" s="55"/>
      <c r="OPI68" s="55"/>
      <c r="OPK68" s="55"/>
      <c r="OPM68" s="55"/>
      <c r="OPO68" s="55"/>
      <c r="OPQ68" s="55"/>
      <c r="OPS68" s="55"/>
      <c r="OPU68" s="55"/>
      <c r="OPW68" s="55"/>
      <c r="OPY68" s="55"/>
      <c r="OQA68" s="55"/>
      <c r="OQC68" s="55"/>
      <c r="OQE68" s="55"/>
      <c r="OQG68" s="55"/>
      <c r="OQI68" s="55"/>
      <c r="OQK68" s="55"/>
      <c r="OQM68" s="55"/>
      <c r="OQO68" s="55"/>
      <c r="OQQ68" s="55"/>
      <c r="OQS68" s="55"/>
      <c r="OQU68" s="55"/>
      <c r="OQW68" s="55"/>
      <c r="OQY68" s="55"/>
      <c r="ORA68" s="55"/>
      <c r="ORC68" s="55"/>
      <c r="ORE68" s="55"/>
      <c r="ORG68" s="55"/>
      <c r="ORI68" s="55"/>
      <c r="ORK68" s="55"/>
      <c r="ORM68" s="55"/>
      <c r="ORO68" s="55"/>
      <c r="ORQ68" s="55"/>
      <c r="ORS68" s="55"/>
      <c r="ORU68" s="55"/>
      <c r="ORW68" s="55"/>
      <c r="ORY68" s="55"/>
      <c r="OSA68" s="55"/>
      <c r="OSC68" s="55"/>
      <c r="OSE68" s="55"/>
      <c r="OSG68" s="55"/>
      <c r="OSI68" s="55"/>
      <c r="OSK68" s="55"/>
      <c r="OSM68" s="55"/>
      <c r="OSO68" s="55"/>
      <c r="OSQ68" s="55"/>
      <c r="OSS68" s="55"/>
      <c r="OSU68" s="55"/>
      <c r="OSW68" s="55"/>
      <c r="OSY68" s="55"/>
      <c r="OTA68" s="55"/>
      <c r="OTC68" s="55"/>
      <c r="OTE68" s="55"/>
      <c r="OTG68" s="55"/>
      <c r="OTI68" s="55"/>
      <c r="OTK68" s="55"/>
      <c r="OTM68" s="55"/>
      <c r="OTO68" s="55"/>
      <c r="OTQ68" s="55"/>
      <c r="OTS68" s="55"/>
      <c r="OTU68" s="55"/>
      <c r="OTW68" s="55"/>
      <c r="OTY68" s="55"/>
      <c r="OUA68" s="55"/>
      <c r="OUC68" s="55"/>
      <c r="OUE68" s="55"/>
      <c r="OUG68" s="55"/>
      <c r="OUI68" s="55"/>
      <c r="OUK68" s="55"/>
      <c r="OUM68" s="55"/>
      <c r="OUO68" s="55"/>
      <c r="OUQ68" s="55"/>
      <c r="OUS68" s="55"/>
      <c r="OUU68" s="55"/>
      <c r="OUW68" s="55"/>
      <c r="OUY68" s="55"/>
      <c r="OVA68" s="55"/>
      <c r="OVC68" s="55"/>
      <c r="OVE68" s="55"/>
      <c r="OVG68" s="55"/>
      <c r="OVI68" s="55"/>
      <c r="OVK68" s="55"/>
      <c r="OVM68" s="55"/>
      <c r="OVO68" s="55"/>
      <c r="OVQ68" s="55"/>
      <c r="OVS68" s="55"/>
      <c r="OVU68" s="55"/>
      <c r="OVW68" s="55"/>
      <c r="OVY68" s="55"/>
      <c r="OWA68" s="55"/>
      <c r="OWC68" s="55"/>
      <c r="OWE68" s="55"/>
      <c r="OWG68" s="55"/>
      <c r="OWI68" s="55"/>
      <c r="OWK68" s="55"/>
      <c r="OWM68" s="55"/>
      <c r="OWO68" s="55"/>
      <c r="OWQ68" s="55"/>
      <c r="OWS68" s="55"/>
      <c r="OWU68" s="55"/>
      <c r="OWW68" s="55"/>
      <c r="OWY68" s="55"/>
      <c r="OXA68" s="55"/>
      <c r="OXC68" s="55"/>
      <c r="OXE68" s="55"/>
      <c r="OXG68" s="55"/>
      <c r="OXI68" s="55"/>
      <c r="OXK68" s="55"/>
      <c r="OXM68" s="55"/>
      <c r="OXO68" s="55"/>
      <c r="OXQ68" s="55"/>
      <c r="OXS68" s="55"/>
      <c r="OXU68" s="55"/>
      <c r="OXW68" s="55"/>
      <c r="OXY68" s="55"/>
      <c r="OYA68" s="55"/>
      <c r="OYC68" s="55"/>
      <c r="OYE68" s="55"/>
      <c r="OYG68" s="55"/>
      <c r="OYI68" s="55"/>
      <c r="OYK68" s="55"/>
      <c r="OYM68" s="55"/>
      <c r="OYO68" s="55"/>
      <c r="OYQ68" s="55"/>
      <c r="OYS68" s="55"/>
      <c r="OYU68" s="55"/>
      <c r="OYW68" s="55"/>
      <c r="OYY68" s="55"/>
      <c r="OZA68" s="55"/>
      <c r="OZC68" s="55"/>
      <c r="OZE68" s="55"/>
      <c r="OZG68" s="55"/>
      <c r="OZI68" s="55"/>
      <c r="OZK68" s="55"/>
      <c r="OZM68" s="55"/>
      <c r="OZO68" s="55"/>
      <c r="OZQ68" s="55"/>
      <c r="OZS68" s="55"/>
      <c r="OZU68" s="55"/>
      <c r="OZW68" s="55"/>
      <c r="OZY68" s="55"/>
      <c r="PAA68" s="55"/>
      <c r="PAC68" s="55"/>
      <c r="PAE68" s="55"/>
      <c r="PAG68" s="55"/>
      <c r="PAI68" s="55"/>
      <c r="PAK68" s="55"/>
      <c r="PAM68" s="55"/>
      <c r="PAO68" s="55"/>
      <c r="PAQ68" s="55"/>
      <c r="PAS68" s="55"/>
      <c r="PAU68" s="55"/>
      <c r="PAW68" s="55"/>
      <c r="PAY68" s="55"/>
      <c r="PBA68" s="55"/>
      <c r="PBC68" s="55"/>
      <c r="PBE68" s="55"/>
      <c r="PBG68" s="55"/>
      <c r="PBI68" s="55"/>
      <c r="PBK68" s="55"/>
      <c r="PBM68" s="55"/>
      <c r="PBO68" s="55"/>
      <c r="PBQ68" s="55"/>
      <c r="PBS68" s="55"/>
      <c r="PBU68" s="55"/>
      <c r="PBW68" s="55"/>
      <c r="PBY68" s="55"/>
      <c r="PCA68" s="55"/>
      <c r="PCC68" s="55"/>
      <c r="PCE68" s="55"/>
      <c r="PCG68" s="55"/>
      <c r="PCI68" s="55"/>
      <c r="PCK68" s="55"/>
      <c r="PCM68" s="55"/>
      <c r="PCO68" s="55"/>
      <c r="PCQ68" s="55"/>
      <c r="PCS68" s="55"/>
      <c r="PCU68" s="55"/>
      <c r="PCW68" s="55"/>
      <c r="PCY68" s="55"/>
      <c r="PDA68" s="55"/>
      <c r="PDC68" s="55"/>
      <c r="PDE68" s="55"/>
      <c r="PDG68" s="55"/>
      <c r="PDI68" s="55"/>
      <c r="PDK68" s="55"/>
      <c r="PDM68" s="55"/>
      <c r="PDO68" s="55"/>
      <c r="PDQ68" s="55"/>
      <c r="PDS68" s="55"/>
      <c r="PDU68" s="55"/>
      <c r="PDW68" s="55"/>
      <c r="PDY68" s="55"/>
      <c r="PEA68" s="55"/>
      <c r="PEC68" s="55"/>
      <c r="PEE68" s="55"/>
      <c r="PEG68" s="55"/>
      <c r="PEI68" s="55"/>
      <c r="PEK68" s="55"/>
      <c r="PEM68" s="55"/>
      <c r="PEO68" s="55"/>
      <c r="PEQ68" s="55"/>
      <c r="PES68" s="55"/>
      <c r="PEU68" s="55"/>
      <c r="PEW68" s="55"/>
      <c r="PEY68" s="55"/>
      <c r="PFA68" s="55"/>
      <c r="PFC68" s="55"/>
      <c r="PFE68" s="55"/>
      <c r="PFG68" s="55"/>
      <c r="PFI68" s="55"/>
      <c r="PFK68" s="55"/>
      <c r="PFM68" s="55"/>
      <c r="PFO68" s="55"/>
      <c r="PFQ68" s="55"/>
      <c r="PFS68" s="55"/>
      <c r="PFU68" s="55"/>
      <c r="PFW68" s="55"/>
      <c r="PFY68" s="55"/>
      <c r="PGA68" s="55"/>
      <c r="PGC68" s="55"/>
      <c r="PGE68" s="55"/>
      <c r="PGG68" s="55"/>
      <c r="PGI68" s="55"/>
      <c r="PGK68" s="55"/>
      <c r="PGM68" s="55"/>
      <c r="PGO68" s="55"/>
      <c r="PGQ68" s="55"/>
      <c r="PGS68" s="55"/>
      <c r="PGU68" s="55"/>
      <c r="PGW68" s="55"/>
      <c r="PGY68" s="55"/>
      <c r="PHA68" s="55"/>
      <c r="PHC68" s="55"/>
      <c r="PHE68" s="55"/>
      <c r="PHG68" s="55"/>
      <c r="PHI68" s="55"/>
      <c r="PHK68" s="55"/>
      <c r="PHM68" s="55"/>
      <c r="PHO68" s="55"/>
      <c r="PHQ68" s="55"/>
      <c r="PHS68" s="55"/>
      <c r="PHU68" s="55"/>
      <c r="PHW68" s="55"/>
      <c r="PHY68" s="55"/>
      <c r="PIA68" s="55"/>
      <c r="PIC68" s="55"/>
      <c r="PIE68" s="55"/>
      <c r="PIG68" s="55"/>
      <c r="PII68" s="55"/>
      <c r="PIK68" s="55"/>
      <c r="PIM68" s="55"/>
      <c r="PIO68" s="55"/>
      <c r="PIQ68" s="55"/>
      <c r="PIS68" s="55"/>
      <c r="PIU68" s="55"/>
      <c r="PIW68" s="55"/>
      <c r="PIY68" s="55"/>
      <c r="PJA68" s="55"/>
      <c r="PJC68" s="55"/>
      <c r="PJE68" s="55"/>
      <c r="PJG68" s="55"/>
      <c r="PJI68" s="55"/>
      <c r="PJK68" s="55"/>
      <c r="PJM68" s="55"/>
      <c r="PJO68" s="55"/>
      <c r="PJQ68" s="55"/>
      <c r="PJS68" s="55"/>
      <c r="PJU68" s="55"/>
      <c r="PJW68" s="55"/>
      <c r="PJY68" s="55"/>
      <c r="PKA68" s="55"/>
      <c r="PKC68" s="55"/>
      <c r="PKE68" s="55"/>
      <c r="PKG68" s="55"/>
      <c r="PKI68" s="55"/>
      <c r="PKK68" s="55"/>
      <c r="PKM68" s="55"/>
      <c r="PKO68" s="55"/>
      <c r="PKQ68" s="55"/>
      <c r="PKS68" s="55"/>
      <c r="PKU68" s="55"/>
      <c r="PKW68" s="55"/>
      <c r="PKY68" s="55"/>
      <c r="PLA68" s="55"/>
      <c r="PLC68" s="55"/>
      <c r="PLE68" s="55"/>
      <c r="PLG68" s="55"/>
      <c r="PLI68" s="55"/>
      <c r="PLK68" s="55"/>
      <c r="PLM68" s="55"/>
      <c r="PLO68" s="55"/>
      <c r="PLQ68" s="55"/>
      <c r="PLS68" s="55"/>
      <c r="PLU68" s="55"/>
      <c r="PLW68" s="55"/>
      <c r="PLY68" s="55"/>
      <c r="PMA68" s="55"/>
      <c r="PMC68" s="55"/>
      <c r="PME68" s="55"/>
      <c r="PMG68" s="55"/>
      <c r="PMI68" s="55"/>
      <c r="PMK68" s="55"/>
      <c r="PMM68" s="55"/>
      <c r="PMO68" s="55"/>
      <c r="PMQ68" s="55"/>
      <c r="PMS68" s="55"/>
      <c r="PMU68" s="55"/>
      <c r="PMW68" s="55"/>
      <c r="PMY68" s="55"/>
      <c r="PNA68" s="55"/>
      <c r="PNC68" s="55"/>
      <c r="PNE68" s="55"/>
      <c r="PNG68" s="55"/>
      <c r="PNI68" s="55"/>
      <c r="PNK68" s="55"/>
      <c r="PNM68" s="55"/>
      <c r="PNO68" s="55"/>
      <c r="PNQ68" s="55"/>
      <c r="PNS68" s="55"/>
      <c r="PNU68" s="55"/>
      <c r="PNW68" s="55"/>
      <c r="PNY68" s="55"/>
      <c r="POA68" s="55"/>
      <c r="POC68" s="55"/>
      <c r="POE68" s="55"/>
      <c r="POG68" s="55"/>
      <c r="POI68" s="55"/>
      <c r="POK68" s="55"/>
      <c r="POM68" s="55"/>
      <c r="POO68" s="55"/>
      <c r="POQ68" s="55"/>
      <c r="POS68" s="55"/>
      <c r="POU68" s="55"/>
      <c r="POW68" s="55"/>
      <c r="POY68" s="55"/>
      <c r="PPA68" s="55"/>
      <c r="PPC68" s="55"/>
      <c r="PPE68" s="55"/>
      <c r="PPG68" s="55"/>
      <c r="PPI68" s="55"/>
      <c r="PPK68" s="55"/>
      <c r="PPM68" s="55"/>
      <c r="PPO68" s="55"/>
      <c r="PPQ68" s="55"/>
      <c r="PPS68" s="55"/>
      <c r="PPU68" s="55"/>
      <c r="PPW68" s="55"/>
      <c r="PPY68" s="55"/>
      <c r="PQA68" s="55"/>
      <c r="PQC68" s="55"/>
      <c r="PQE68" s="55"/>
      <c r="PQG68" s="55"/>
      <c r="PQI68" s="55"/>
      <c r="PQK68" s="55"/>
      <c r="PQM68" s="55"/>
      <c r="PQO68" s="55"/>
      <c r="PQQ68" s="55"/>
      <c r="PQS68" s="55"/>
      <c r="PQU68" s="55"/>
      <c r="PQW68" s="55"/>
      <c r="PQY68" s="55"/>
      <c r="PRA68" s="55"/>
      <c r="PRC68" s="55"/>
      <c r="PRE68" s="55"/>
      <c r="PRG68" s="55"/>
      <c r="PRI68" s="55"/>
      <c r="PRK68" s="55"/>
      <c r="PRM68" s="55"/>
      <c r="PRO68" s="55"/>
      <c r="PRQ68" s="55"/>
      <c r="PRS68" s="55"/>
      <c r="PRU68" s="55"/>
      <c r="PRW68" s="55"/>
      <c r="PRY68" s="55"/>
      <c r="PSA68" s="55"/>
      <c r="PSC68" s="55"/>
      <c r="PSE68" s="55"/>
      <c r="PSG68" s="55"/>
      <c r="PSI68" s="55"/>
      <c r="PSK68" s="55"/>
      <c r="PSM68" s="55"/>
      <c r="PSO68" s="55"/>
      <c r="PSQ68" s="55"/>
      <c r="PSS68" s="55"/>
      <c r="PSU68" s="55"/>
      <c r="PSW68" s="55"/>
      <c r="PSY68" s="55"/>
      <c r="PTA68" s="55"/>
      <c r="PTC68" s="55"/>
      <c r="PTE68" s="55"/>
      <c r="PTG68" s="55"/>
      <c r="PTI68" s="55"/>
      <c r="PTK68" s="55"/>
      <c r="PTM68" s="55"/>
      <c r="PTO68" s="55"/>
      <c r="PTQ68" s="55"/>
      <c r="PTS68" s="55"/>
      <c r="PTU68" s="55"/>
      <c r="PTW68" s="55"/>
      <c r="PTY68" s="55"/>
      <c r="PUA68" s="55"/>
      <c r="PUC68" s="55"/>
      <c r="PUE68" s="55"/>
      <c r="PUG68" s="55"/>
      <c r="PUI68" s="55"/>
      <c r="PUK68" s="55"/>
      <c r="PUM68" s="55"/>
      <c r="PUO68" s="55"/>
      <c r="PUQ68" s="55"/>
      <c r="PUS68" s="55"/>
      <c r="PUU68" s="55"/>
      <c r="PUW68" s="55"/>
      <c r="PUY68" s="55"/>
      <c r="PVA68" s="55"/>
      <c r="PVC68" s="55"/>
      <c r="PVE68" s="55"/>
      <c r="PVG68" s="55"/>
      <c r="PVI68" s="55"/>
      <c r="PVK68" s="55"/>
      <c r="PVM68" s="55"/>
      <c r="PVO68" s="55"/>
      <c r="PVQ68" s="55"/>
      <c r="PVS68" s="55"/>
      <c r="PVU68" s="55"/>
      <c r="PVW68" s="55"/>
      <c r="PVY68" s="55"/>
      <c r="PWA68" s="55"/>
      <c r="PWC68" s="55"/>
      <c r="PWE68" s="55"/>
      <c r="PWG68" s="55"/>
      <c r="PWI68" s="55"/>
      <c r="PWK68" s="55"/>
      <c r="PWM68" s="55"/>
      <c r="PWO68" s="55"/>
      <c r="PWQ68" s="55"/>
      <c r="PWS68" s="55"/>
      <c r="PWU68" s="55"/>
      <c r="PWW68" s="55"/>
      <c r="PWY68" s="55"/>
      <c r="PXA68" s="55"/>
      <c r="PXC68" s="55"/>
      <c r="PXE68" s="55"/>
      <c r="PXG68" s="55"/>
      <c r="PXI68" s="55"/>
      <c r="PXK68" s="55"/>
      <c r="PXM68" s="55"/>
      <c r="PXO68" s="55"/>
      <c r="PXQ68" s="55"/>
      <c r="PXS68" s="55"/>
      <c r="PXU68" s="55"/>
      <c r="PXW68" s="55"/>
      <c r="PXY68" s="55"/>
      <c r="PYA68" s="55"/>
      <c r="PYC68" s="55"/>
      <c r="PYE68" s="55"/>
      <c r="PYG68" s="55"/>
      <c r="PYI68" s="55"/>
      <c r="PYK68" s="55"/>
      <c r="PYM68" s="55"/>
      <c r="PYO68" s="55"/>
      <c r="PYQ68" s="55"/>
      <c r="PYS68" s="55"/>
      <c r="PYU68" s="55"/>
      <c r="PYW68" s="55"/>
      <c r="PYY68" s="55"/>
      <c r="PZA68" s="55"/>
      <c r="PZC68" s="55"/>
      <c r="PZE68" s="55"/>
      <c r="PZG68" s="55"/>
      <c r="PZI68" s="55"/>
      <c r="PZK68" s="55"/>
      <c r="PZM68" s="55"/>
      <c r="PZO68" s="55"/>
      <c r="PZQ68" s="55"/>
      <c r="PZS68" s="55"/>
      <c r="PZU68" s="55"/>
      <c r="PZW68" s="55"/>
      <c r="PZY68" s="55"/>
      <c r="QAA68" s="55"/>
      <c r="QAC68" s="55"/>
      <c r="QAE68" s="55"/>
      <c r="QAG68" s="55"/>
      <c r="QAI68" s="55"/>
      <c r="QAK68" s="55"/>
      <c r="QAM68" s="55"/>
      <c r="QAO68" s="55"/>
      <c r="QAQ68" s="55"/>
      <c r="QAS68" s="55"/>
      <c r="QAU68" s="55"/>
      <c r="QAW68" s="55"/>
      <c r="QAY68" s="55"/>
      <c r="QBA68" s="55"/>
      <c r="QBC68" s="55"/>
      <c r="QBE68" s="55"/>
      <c r="QBG68" s="55"/>
      <c r="QBI68" s="55"/>
      <c r="QBK68" s="55"/>
      <c r="QBM68" s="55"/>
      <c r="QBO68" s="55"/>
      <c r="QBQ68" s="55"/>
      <c r="QBS68" s="55"/>
      <c r="QBU68" s="55"/>
      <c r="QBW68" s="55"/>
      <c r="QBY68" s="55"/>
      <c r="QCA68" s="55"/>
      <c r="QCC68" s="55"/>
      <c r="QCE68" s="55"/>
      <c r="QCG68" s="55"/>
      <c r="QCI68" s="55"/>
      <c r="QCK68" s="55"/>
      <c r="QCM68" s="55"/>
      <c r="QCO68" s="55"/>
      <c r="QCQ68" s="55"/>
      <c r="QCS68" s="55"/>
      <c r="QCU68" s="55"/>
      <c r="QCW68" s="55"/>
      <c r="QCY68" s="55"/>
      <c r="QDA68" s="55"/>
      <c r="QDC68" s="55"/>
      <c r="QDE68" s="55"/>
      <c r="QDG68" s="55"/>
      <c r="QDI68" s="55"/>
      <c r="QDK68" s="55"/>
      <c r="QDM68" s="55"/>
      <c r="QDO68" s="55"/>
      <c r="QDQ68" s="55"/>
      <c r="QDS68" s="55"/>
      <c r="QDU68" s="55"/>
      <c r="QDW68" s="55"/>
      <c r="QDY68" s="55"/>
      <c r="QEA68" s="55"/>
      <c r="QEC68" s="55"/>
      <c r="QEE68" s="55"/>
      <c r="QEG68" s="55"/>
      <c r="QEI68" s="55"/>
      <c r="QEK68" s="55"/>
      <c r="QEM68" s="55"/>
      <c r="QEO68" s="55"/>
      <c r="QEQ68" s="55"/>
      <c r="QES68" s="55"/>
      <c r="QEU68" s="55"/>
      <c r="QEW68" s="55"/>
      <c r="QEY68" s="55"/>
      <c r="QFA68" s="55"/>
      <c r="QFC68" s="55"/>
      <c r="QFE68" s="55"/>
      <c r="QFG68" s="55"/>
      <c r="QFI68" s="55"/>
      <c r="QFK68" s="55"/>
      <c r="QFM68" s="55"/>
      <c r="QFO68" s="55"/>
      <c r="QFQ68" s="55"/>
      <c r="QFS68" s="55"/>
      <c r="QFU68" s="55"/>
      <c r="QFW68" s="55"/>
      <c r="QFY68" s="55"/>
      <c r="QGA68" s="55"/>
      <c r="QGC68" s="55"/>
      <c r="QGE68" s="55"/>
      <c r="QGG68" s="55"/>
      <c r="QGI68" s="55"/>
      <c r="QGK68" s="55"/>
      <c r="QGM68" s="55"/>
      <c r="QGO68" s="55"/>
      <c r="QGQ68" s="55"/>
      <c r="QGS68" s="55"/>
      <c r="QGU68" s="55"/>
      <c r="QGW68" s="55"/>
      <c r="QGY68" s="55"/>
      <c r="QHA68" s="55"/>
      <c r="QHC68" s="55"/>
      <c r="QHE68" s="55"/>
      <c r="QHG68" s="55"/>
      <c r="QHI68" s="55"/>
      <c r="QHK68" s="55"/>
      <c r="QHM68" s="55"/>
      <c r="QHO68" s="55"/>
      <c r="QHQ68" s="55"/>
      <c r="QHS68" s="55"/>
      <c r="QHU68" s="55"/>
      <c r="QHW68" s="55"/>
      <c r="QHY68" s="55"/>
      <c r="QIA68" s="55"/>
      <c r="QIC68" s="55"/>
      <c r="QIE68" s="55"/>
      <c r="QIG68" s="55"/>
      <c r="QII68" s="55"/>
      <c r="QIK68" s="55"/>
      <c r="QIM68" s="55"/>
      <c r="QIO68" s="55"/>
      <c r="QIQ68" s="55"/>
      <c r="QIS68" s="55"/>
      <c r="QIU68" s="55"/>
      <c r="QIW68" s="55"/>
      <c r="QIY68" s="55"/>
      <c r="QJA68" s="55"/>
      <c r="QJC68" s="55"/>
      <c r="QJE68" s="55"/>
      <c r="QJG68" s="55"/>
      <c r="QJI68" s="55"/>
      <c r="QJK68" s="55"/>
      <c r="QJM68" s="55"/>
      <c r="QJO68" s="55"/>
      <c r="QJQ68" s="55"/>
      <c r="QJS68" s="55"/>
      <c r="QJU68" s="55"/>
      <c r="QJW68" s="55"/>
      <c r="QJY68" s="55"/>
      <c r="QKA68" s="55"/>
      <c r="QKC68" s="55"/>
      <c r="QKE68" s="55"/>
      <c r="QKG68" s="55"/>
      <c r="QKI68" s="55"/>
      <c r="QKK68" s="55"/>
      <c r="QKM68" s="55"/>
      <c r="QKO68" s="55"/>
      <c r="QKQ68" s="55"/>
      <c r="QKS68" s="55"/>
      <c r="QKU68" s="55"/>
      <c r="QKW68" s="55"/>
      <c r="QKY68" s="55"/>
      <c r="QLA68" s="55"/>
      <c r="QLC68" s="55"/>
      <c r="QLE68" s="55"/>
      <c r="QLG68" s="55"/>
      <c r="QLI68" s="55"/>
      <c r="QLK68" s="55"/>
      <c r="QLM68" s="55"/>
      <c r="QLO68" s="55"/>
      <c r="QLQ68" s="55"/>
      <c r="QLS68" s="55"/>
      <c r="QLU68" s="55"/>
      <c r="QLW68" s="55"/>
      <c r="QLY68" s="55"/>
      <c r="QMA68" s="55"/>
      <c r="QMC68" s="55"/>
      <c r="QME68" s="55"/>
      <c r="QMG68" s="55"/>
      <c r="QMI68" s="55"/>
      <c r="QMK68" s="55"/>
      <c r="QMM68" s="55"/>
      <c r="QMO68" s="55"/>
      <c r="QMQ68" s="55"/>
      <c r="QMS68" s="55"/>
      <c r="QMU68" s="55"/>
      <c r="QMW68" s="55"/>
      <c r="QMY68" s="55"/>
      <c r="QNA68" s="55"/>
      <c r="QNC68" s="55"/>
      <c r="QNE68" s="55"/>
      <c r="QNG68" s="55"/>
      <c r="QNI68" s="55"/>
      <c r="QNK68" s="55"/>
      <c r="QNM68" s="55"/>
      <c r="QNO68" s="55"/>
      <c r="QNQ68" s="55"/>
      <c r="QNS68" s="55"/>
      <c r="QNU68" s="55"/>
      <c r="QNW68" s="55"/>
      <c r="QNY68" s="55"/>
      <c r="QOA68" s="55"/>
      <c r="QOC68" s="55"/>
      <c r="QOE68" s="55"/>
      <c r="QOG68" s="55"/>
      <c r="QOI68" s="55"/>
      <c r="QOK68" s="55"/>
      <c r="QOM68" s="55"/>
      <c r="QOO68" s="55"/>
      <c r="QOQ68" s="55"/>
      <c r="QOS68" s="55"/>
      <c r="QOU68" s="55"/>
      <c r="QOW68" s="55"/>
      <c r="QOY68" s="55"/>
      <c r="QPA68" s="55"/>
      <c r="QPC68" s="55"/>
      <c r="QPE68" s="55"/>
      <c r="QPG68" s="55"/>
      <c r="QPI68" s="55"/>
      <c r="QPK68" s="55"/>
      <c r="QPM68" s="55"/>
      <c r="QPO68" s="55"/>
      <c r="QPQ68" s="55"/>
      <c r="QPS68" s="55"/>
      <c r="QPU68" s="55"/>
      <c r="QPW68" s="55"/>
      <c r="QPY68" s="55"/>
      <c r="QQA68" s="55"/>
      <c r="QQC68" s="55"/>
      <c r="QQE68" s="55"/>
      <c r="QQG68" s="55"/>
      <c r="QQI68" s="55"/>
      <c r="QQK68" s="55"/>
      <c r="QQM68" s="55"/>
      <c r="QQO68" s="55"/>
      <c r="QQQ68" s="55"/>
      <c r="QQS68" s="55"/>
      <c r="QQU68" s="55"/>
      <c r="QQW68" s="55"/>
      <c r="QQY68" s="55"/>
      <c r="QRA68" s="55"/>
      <c r="QRC68" s="55"/>
      <c r="QRE68" s="55"/>
      <c r="QRG68" s="55"/>
      <c r="QRI68" s="55"/>
      <c r="QRK68" s="55"/>
      <c r="QRM68" s="55"/>
      <c r="QRO68" s="55"/>
      <c r="QRQ68" s="55"/>
      <c r="QRS68" s="55"/>
      <c r="QRU68" s="55"/>
      <c r="QRW68" s="55"/>
      <c r="QRY68" s="55"/>
      <c r="QSA68" s="55"/>
      <c r="QSC68" s="55"/>
      <c r="QSE68" s="55"/>
      <c r="QSG68" s="55"/>
      <c r="QSI68" s="55"/>
      <c r="QSK68" s="55"/>
      <c r="QSM68" s="55"/>
      <c r="QSO68" s="55"/>
      <c r="QSQ68" s="55"/>
      <c r="QSS68" s="55"/>
      <c r="QSU68" s="55"/>
      <c r="QSW68" s="55"/>
      <c r="QSY68" s="55"/>
      <c r="QTA68" s="55"/>
      <c r="QTC68" s="55"/>
      <c r="QTE68" s="55"/>
      <c r="QTG68" s="55"/>
      <c r="QTI68" s="55"/>
      <c r="QTK68" s="55"/>
      <c r="QTM68" s="55"/>
      <c r="QTO68" s="55"/>
      <c r="QTQ68" s="55"/>
      <c r="QTS68" s="55"/>
      <c r="QTU68" s="55"/>
      <c r="QTW68" s="55"/>
      <c r="QTY68" s="55"/>
      <c r="QUA68" s="55"/>
      <c r="QUC68" s="55"/>
      <c r="QUE68" s="55"/>
      <c r="QUG68" s="55"/>
      <c r="QUI68" s="55"/>
      <c r="QUK68" s="55"/>
      <c r="QUM68" s="55"/>
      <c r="QUO68" s="55"/>
      <c r="QUQ68" s="55"/>
      <c r="QUS68" s="55"/>
      <c r="QUU68" s="55"/>
      <c r="QUW68" s="55"/>
      <c r="QUY68" s="55"/>
      <c r="QVA68" s="55"/>
      <c r="QVC68" s="55"/>
      <c r="QVE68" s="55"/>
      <c r="QVG68" s="55"/>
      <c r="QVI68" s="55"/>
      <c r="QVK68" s="55"/>
      <c r="QVM68" s="55"/>
      <c r="QVO68" s="55"/>
      <c r="QVQ68" s="55"/>
      <c r="QVS68" s="55"/>
      <c r="QVU68" s="55"/>
      <c r="QVW68" s="55"/>
      <c r="QVY68" s="55"/>
      <c r="QWA68" s="55"/>
      <c r="QWC68" s="55"/>
      <c r="QWE68" s="55"/>
      <c r="QWG68" s="55"/>
      <c r="QWI68" s="55"/>
      <c r="QWK68" s="55"/>
      <c r="QWM68" s="55"/>
      <c r="QWO68" s="55"/>
      <c r="QWQ68" s="55"/>
      <c r="QWS68" s="55"/>
      <c r="QWU68" s="55"/>
      <c r="QWW68" s="55"/>
      <c r="QWY68" s="55"/>
      <c r="QXA68" s="55"/>
      <c r="QXC68" s="55"/>
      <c r="QXE68" s="55"/>
      <c r="QXG68" s="55"/>
      <c r="QXI68" s="55"/>
      <c r="QXK68" s="55"/>
      <c r="QXM68" s="55"/>
      <c r="QXO68" s="55"/>
      <c r="QXQ68" s="55"/>
      <c r="QXS68" s="55"/>
      <c r="QXU68" s="55"/>
      <c r="QXW68" s="55"/>
      <c r="QXY68" s="55"/>
      <c r="QYA68" s="55"/>
      <c r="QYC68" s="55"/>
      <c r="QYE68" s="55"/>
      <c r="QYG68" s="55"/>
      <c r="QYI68" s="55"/>
      <c r="QYK68" s="55"/>
      <c r="QYM68" s="55"/>
      <c r="QYO68" s="55"/>
      <c r="QYQ68" s="55"/>
      <c r="QYS68" s="55"/>
      <c r="QYU68" s="55"/>
      <c r="QYW68" s="55"/>
      <c r="QYY68" s="55"/>
      <c r="QZA68" s="55"/>
      <c r="QZC68" s="55"/>
      <c r="QZE68" s="55"/>
      <c r="QZG68" s="55"/>
      <c r="QZI68" s="55"/>
      <c r="QZK68" s="55"/>
      <c r="QZM68" s="55"/>
      <c r="QZO68" s="55"/>
      <c r="QZQ68" s="55"/>
      <c r="QZS68" s="55"/>
      <c r="QZU68" s="55"/>
      <c r="QZW68" s="55"/>
      <c r="QZY68" s="55"/>
      <c r="RAA68" s="55"/>
      <c r="RAC68" s="55"/>
      <c r="RAE68" s="55"/>
      <c r="RAG68" s="55"/>
      <c r="RAI68" s="55"/>
      <c r="RAK68" s="55"/>
      <c r="RAM68" s="55"/>
      <c r="RAO68" s="55"/>
      <c r="RAQ68" s="55"/>
      <c r="RAS68" s="55"/>
      <c r="RAU68" s="55"/>
      <c r="RAW68" s="55"/>
      <c r="RAY68" s="55"/>
      <c r="RBA68" s="55"/>
      <c r="RBC68" s="55"/>
      <c r="RBE68" s="55"/>
      <c r="RBG68" s="55"/>
      <c r="RBI68" s="55"/>
      <c r="RBK68" s="55"/>
      <c r="RBM68" s="55"/>
      <c r="RBO68" s="55"/>
      <c r="RBQ68" s="55"/>
      <c r="RBS68" s="55"/>
      <c r="RBU68" s="55"/>
      <c r="RBW68" s="55"/>
      <c r="RBY68" s="55"/>
      <c r="RCA68" s="55"/>
      <c r="RCC68" s="55"/>
      <c r="RCE68" s="55"/>
      <c r="RCG68" s="55"/>
      <c r="RCI68" s="55"/>
      <c r="RCK68" s="55"/>
      <c r="RCM68" s="55"/>
      <c r="RCO68" s="55"/>
      <c r="RCQ68" s="55"/>
      <c r="RCS68" s="55"/>
      <c r="RCU68" s="55"/>
      <c r="RCW68" s="55"/>
      <c r="RCY68" s="55"/>
      <c r="RDA68" s="55"/>
      <c r="RDC68" s="55"/>
      <c r="RDE68" s="55"/>
      <c r="RDG68" s="55"/>
      <c r="RDI68" s="55"/>
      <c r="RDK68" s="55"/>
      <c r="RDM68" s="55"/>
      <c r="RDO68" s="55"/>
      <c r="RDQ68" s="55"/>
      <c r="RDS68" s="55"/>
      <c r="RDU68" s="55"/>
      <c r="RDW68" s="55"/>
      <c r="RDY68" s="55"/>
      <c r="REA68" s="55"/>
      <c r="REC68" s="55"/>
      <c r="REE68" s="55"/>
      <c r="REG68" s="55"/>
      <c r="REI68" s="55"/>
      <c r="REK68" s="55"/>
      <c r="REM68" s="55"/>
      <c r="REO68" s="55"/>
      <c r="REQ68" s="55"/>
      <c r="RES68" s="55"/>
      <c r="REU68" s="55"/>
      <c r="REW68" s="55"/>
      <c r="REY68" s="55"/>
      <c r="RFA68" s="55"/>
      <c r="RFC68" s="55"/>
      <c r="RFE68" s="55"/>
      <c r="RFG68" s="55"/>
      <c r="RFI68" s="55"/>
      <c r="RFK68" s="55"/>
      <c r="RFM68" s="55"/>
      <c r="RFO68" s="55"/>
      <c r="RFQ68" s="55"/>
      <c r="RFS68" s="55"/>
      <c r="RFU68" s="55"/>
      <c r="RFW68" s="55"/>
      <c r="RFY68" s="55"/>
      <c r="RGA68" s="55"/>
      <c r="RGC68" s="55"/>
      <c r="RGE68" s="55"/>
      <c r="RGG68" s="55"/>
      <c r="RGI68" s="55"/>
      <c r="RGK68" s="55"/>
      <c r="RGM68" s="55"/>
      <c r="RGO68" s="55"/>
      <c r="RGQ68" s="55"/>
      <c r="RGS68" s="55"/>
      <c r="RGU68" s="55"/>
      <c r="RGW68" s="55"/>
      <c r="RGY68" s="55"/>
      <c r="RHA68" s="55"/>
      <c r="RHC68" s="55"/>
      <c r="RHE68" s="55"/>
      <c r="RHG68" s="55"/>
      <c r="RHI68" s="55"/>
      <c r="RHK68" s="55"/>
      <c r="RHM68" s="55"/>
      <c r="RHO68" s="55"/>
      <c r="RHQ68" s="55"/>
      <c r="RHS68" s="55"/>
      <c r="RHU68" s="55"/>
      <c r="RHW68" s="55"/>
      <c r="RHY68" s="55"/>
      <c r="RIA68" s="55"/>
      <c r="RIC68" s="55"/>
      <c r="RIE68" s="55"/>
      <c r="RIG68" s="55"/>
      <c r="RII68" s="55"/>
      <c r="RIK68" s="55"/>
      <c r="RIM68" s="55"/>
      <c r="RIO68" s="55"/>
      <c r="RIQ68" s="55"/>
      <c r="RIS68" s="55"/>
      <c r="RIU68" s="55"/>
      <c r="RIW68" s="55"/>
      <c r="RIY68" s="55"/>
      <c r="RJA68" s="55"/>
      <c r="RJC68" s="55"/>
      <c r="RJE68" s="55"/>
      <c r="RJG68" s="55"/>
      <c r="RJI68" s="55"/>
      <c r="RJK68" s="55"/>
      <c r="RJM68" s="55"/>
      <c r="RJO68" s="55"/>
      <c r="RJQ68" s="55"/>
      <c r="RJS68" s="55"/>
      <c r="RJU68" s="55"/>
      <c r="RJW68" s="55"/>
      <c r="RJY68" s="55"/>
      <c r="RKA68" s="55"/>
      <c r="RKC68" s="55"/>
      <c r="RKE68" s="55"/>
      <c r="RKG68" s="55"/>
      <c r="RKI68" s="55"/>
      <c r="RKK68" s="55"/>
      <c r="RKM68" s="55"/>
      <c r="RKO68" s="55"/>
      <c r="RKQ68" s="55"/>
      <c r="RKS68" s="55"/>
      <c r="RKU68" s="55"/>
      <c r="RKW68" s="55"/>
      <c r="RKY68" s="55"/>
      <c r="RLA68" s="55"/>
      <c r="RLC68" s="55"/>
      <c r="RLE68" s="55"/>
      <c r="RLG68" s="55"/>
      <c r="RLI68" s="55"/>
      <c r="RLK68" s="55"/>
      <c r="RLM68" s="55"/>
      <c r="RLO68" s="55"/>
      <c r="RLQ68" s="55"/>
      <c r="RLS68" s="55"/>
      <c r="RLU68" s="55"/>
      <c r="RLW68" s="55"/>
      <c r="RLY68" s="55"/>
      <c r="RMA68" s="55"/>
      <c r="RMC68" s="55"/>
      <c r="RME68" s="55"/>
      <c r="RMG68" s="55"/>
      <c r="RMI68" s="55"/>
      <c r="RMK68" s="55"/>
      <c r="RMM68" s="55"/>
      <c r="RMO68" s="55"/>
      <c r="RMQ68" s="55"/>
      <c r="RMS68" s="55"/>
      <c r="RMU68" s="55"/>
      <c r="RMW68" s="55"/>
      <c r="RMY68" s="55"/>
      <c r="RNA68" s="55"/>
      <c r="RNC68" s="55"/>
      <c r="RNE68" s="55"/>
      <c r="RNG68" s="55"/>
      <c r="RNI68" s="55"/>
      <c r="RNK68" s="55"/>
      <c r="RNM68" s="55"/>
      <c r="RNO68" s="55"/>
      <c r="RNQ68" s="55"/>
      <c r="RNS68" s="55"/>
      <c r="RNU68" s="55"/>
      <c r="RNW68" s="55"/>
      <c r="RNY68" s="55"/>
      <c r="ROA68" s="55"/>
      <c r="ROC68" s="55"/>
      <c r="ROE68" s="55"/>
      <c r="ROG68" s="55"/>
      <c r="ROI68" s="55"/>
      <c r="ROK68" s="55"/>
      <c r="ROM68" s="55"/>
      <c r="ROO68" s="55"/>
      <c r="ROQ68" s="55"/>
      <c r="ROS68" s="55"/>
      <c r="ROU68" s="55"/>
      <c r="ROW68" s="55"/>
      <c r="ROY68" s="55"/>
      <c r="RPA68" s="55"/>
      <c r="RPC68" s="55"/>
      <c r="RPE68" s="55"/>
      <c r="RPG68" s="55"/>
      <c r="RPI68" s="55"/>
      <c r="RPK68" s="55"/>
      <c r="RPM68" s="55"/>
      <c r="RPO68" s="55"/>
      <c r="RPQ68" s="55"/>
      <c r="RPS68" s="55"/>
      <c r="RPU68" s="55"/>
      <c r="RPW68" s="55"/>
      <c r="RPY68" s="55"/>
      <c r="RQA68" s="55"/>
      <c r="RQC68" s="55"/>
      <c r="RQE68" s="55"/>
      <c r="RQG68" s="55"/>
      <c r="RQI68" s="55"/>
      <c r="RQK68" s="55"/>
      <c r="RQM68" s="55"/>
      <c r="RQO68" s="55"/>
      <c r="RQQ68" s="55"/>
      <c r="RQS68" s="55"/>
      <c r="RQU68" s="55"/>
      <c r="RQW68" s="55"/>
      <c r="RQY68" s="55"/>
      <c r="RRA68" s="55"/>
      <c r="RRC68" s="55"/>
      <c r="RRE68" s="55"/>
      <c r="RRG68" s="55"/>
      <c r="RRI68" s="55"/>
      <c r="RRK68" s="55"/>
      <c r="RRM68" s="55"/>
      <c r="RRO68" s="55"/>
      <c r="RRQ68" s="55"/>
      <c r="RRS68" s="55"/>
      <c r="RRU68" s="55"/>
      <c r="RRW68" s="55"/>
      <c r="RRY68" s="55"/>
      <c r="RSA68" s="55"/>
      <c r="RSC68" s="55"/>
      <c r="RSE68" s="55"/>
      <c r="RSG68" s="55"/>
      <c r="RSI68" s="55"/>
      <c r="RSK68" s="55"/>
      <c r="RSM68" s="55"/>
      <c r="RSO68" s="55"/>
      <c r="RSQ68" s="55"/>
      <c r="RSS68" s="55"/>
      <c r="RSU68" s="55"/>
      <c r="RSW68" s="55"/>
      <c r="RSY68" s="55"/>
      <c r="RTA68" s="55"/>
      <c r="RTC68" s="55"/>
      <c r="RTE68" s="55"/>
      <c r="RTG68" s="55"/>
      <c r="RTI68" s="55"/>
      <c r="RTK68" s="55"/>
      <c r="RTM68" s="55"/>
      <c r="RTO68" s="55"/>
      <c r="RTQ68" s="55"/>
      <c r="RTS68" s="55"/>
      <c r="RTU68" s="55"/>
      <c r="RTW68" s="55"/>
      <c r="RTY68" s="55"/>
      <c r="RUA68" s="55"/>
      <c r="RUC68" s="55"/>
      <c r="RUE68" s="55"/>
      <c r="RUG68" s="55"/>
      <c r="RUI68" s="55"/>
      <c r="RUK68" s="55"/>
      <c r="RUM68" s="55"/>
      <c r="RUO68" s="55"/>
      <c r="RUQ68" s="55"/>
      <c r="RUS68" s="55"/>
      <c r="RUU68" s="55"/>
      <c r="RUW68" s="55"/>
      <c r="RUY68" s="55"/>
      <c r="RVA68" s="55"/>
      <c r="RVC68" s="55"/>
      <c r="RVE68" s="55"/>
      <c r="RVG68" s="55"/>
      <c r="RVI68" s="55"/>
      <c r="RVK68" s="55"/>
      <c r="RVM68" s="55"/>
      <c r="RVO68" s="55"/>
      <c r="RVQ68" s="55"/>
      <c r="RVS68" s="55"/>
      <c r="RVU68" s="55"/>
      <c r="RVW68" s="55"/>
      <c r="RVY68" s="55"/>
      <c r="RWA68" s="55"/>
      <c r="RWC68" s="55"/>
      <c r="RWE68" s="55"/>
      <c r="RWG68" s="55"/>
      <c r="RWI68" s="55"/>
      <c r="RWK68" s="55"/>
      <c r="RWM68" s="55"/>
      <c r="RWO68" s="55"/>
      <c r="RWQ68" s="55"/>
      <c r="RWS68" s="55"/>
      <c r="RWU68" s="55"/>
      <c r="RWW68" s="55"/>
      <c r="RWY68" s="55"/>
      <c r="RXA68" s="55"/>
      <c r="RXC68" s="55"/>
      <c r="RXE68" s="55"/>
      <c r="RXG68" s="55"/>
      <c r="RXI68" s="55"/>
      <c r="RXK68" s="55"/>
      <c r="RXM68" s="55"/>
      <c r="RXO68" s="55"/>
      <c r="RXQ68" s="55"/>
      <c r="RXS68" s="55"/>
      <c r="RXU68" s="55"/>
      <c r="RXW68" s="55"/>
      <c r="RXY68" s="55"/>
      <c r="RYA68" s="55"/>
      <c r="RYC68" s="55"/>
      <c r="RYE68" s="55"/>
      <c r="RYG68" s="55"/>
      <c r="RYI68" s="55"/>
      <c r="RYK68" s="55"/>
      <c r="RYM68" s="55"/>
      <c r="RYO68" s="55"/>
      <c r="RYQ68" s="55"/>
      <c r="RYS68" s="55"/>
      <c r="RYU68" s="55"/>
      <c r="RYW68" s="55"/>
      <c r="RYY68" s="55"/>
      <c r="RZA68" s="55"/>
      <c r="RZC68" s="55"/>
      <c r="RZE68" s="55"/>
      <c r="RZG68" s="55"/>
      <c r="RZI68" s="55"/>
      <c r="RZK68" s="55"/>
      <c r="RZM68" s="55"/>
      <c r="RZO68" s="55"/>
      <c r="RZQ68" s="55"/>
      <c r="RZS68" s="55"/>
      <c r="RZU68" s="55"/>
      <c r="RZW68" s="55"/>
      <c r="RZY68" s="55"/>
      <c r="SAA68" s="55"/>
      <c r="SAC68" s="55"/>
      <c r="SAE68" s="55"/>
      <c r="SAG68" s="55"/>
      <c r="SAI68" s="55"/>
      <c r="SAK68" s="55"/>
      <c r="SAM68" s="55"/>
      <c r="SAO68" s="55"/>
      <c r="SAQ68" s="55"/>
      <c r="SAS68" s="55"/>
      <c r="SAU68" s="55"/>
      <c r="SAW68" s="55"/>
      <c r="SAY68" s="55"/>
      <c r="SBA68" s="55"/>
      <c r="SBC68" s="55"/>
      <c r="SBE68" s="55"/>
      <c r="SBG68" s="55"/>
      <c r="SBI68" s="55"/>
      <c r="SBK68" s="55"/>
      <c r="SBM68" s="55"/>
      <c r="SBO68" s="55"/>
      <c r="SBQ68" s="55"/>
      <c r="SBS68" s="55"/>
      <c r="SBU68" s="55"/>
      <c r="SBW68" s="55"/>
      <c r="SBY68" s="55"/>
      <c r="SCA68" s="55"/>
      <c r="SCC68" s="55"/>
      <c r="SCE68" s="55"/>
      <c r="SCG68" s="55"/>
      <c r="SCI68" s="55"/>
      <c r="SCK68" s="55"/>
      <c r="SCM68" s="55"/>
      <c r="SCO68" s="55"/>
      <c r="SCQ68" s="55"/>
      <c r="SCS68" s="55"/>
      <c r="SCU68" s="55"/>
      <c r="SCW68" s="55"/>
      <c r="SCY68" s="55"/>
      <c r="SDA68" s="55"/>
      <c r="SDC68" s="55"/>
      <c r="SDE68" s="55"/>
      <c r="SDG68" s="55"/>
      <c r="SDI68" s="55"/>
      <c r="SDK68" s="55"/>
      <c r="SDM68" s="55"/>
      <c r="SDO68" s="55"/>
      <c r="SDQ68" s="55"/>
      <c r="SDS68" s="55"/>
      <c r="SDU68" s="55"/>
      <c r="SDW68" s="55"/>
      <c r="SDY68" s="55"/>
      <c r="SEA68" s="55"/>
      <c r="SEC68" s="55"/>
      <c r="SEE68" s="55"/>
      <c r="SEG68" s="55"/>
      <c r="SEI68" s="55"/>
      <c r="SEK68" s="55"/>
      <c r="SEM68" s="55"/>
      <c r="SEO68" s="55"/>
      <c r="SEQ68" s="55"/>
      <c r="SES68" s="55"/>
      <c r="SEU68" s="55"/>
      <c r="SEW68" s="55"/>
      <c r="SEY68" s="55"/>
      <c r="SFA68" s="55"/>
      <c r="SFC68" s="55"/>
      <c r="SFE68" s="55"/>
      <c r="SFG68" s="55"/>
      <c r="SFI68" s="55"/>
      <c r="SFK68" s="55"/>
      <c r="SFM68" s="55"/>
      <c r="SFO68" s="55"/>
      <c r="SFQ68" s="55"/>
      <c r="SFS68" s="55"/>
      <c r="SFU68" s="55"/>
      <c r="SFW68" s="55"/>
      <c r="SFY68" s="55"/>
      <c r="SGA68" s="55"/>
      <c r="SGC68" s="55"/>
      <c r="SGE68" s="55"/>
      <c r="SGG68" s="55"/>
      <c r="SGI68" s="55"/>
      <c r="SGK68" s="55"/>
      <c r="SGM68" s="55"/>
      <c r="SGO68" s="55"/>
      <c r="SGQ68" s="55"/>
      <c r="SGS68" s="55"/>
      <c r="SGU68" s="55"/>
      <c r="SGW68" s="55"/>
      <c r="SGY68" s="55"/>
      <c r="SHA68" s="55"/>
      <c r="SHC68" s="55"/>
      <c r="SHE68" s="55"/>
      <c r="SHG68" s="55"/>
      <c r="SHI68" s="55"/>
      <c r="SHK68" s="55"/>
      <c r="SHM68" s="55"/>
      <c r="SHO68" s="55"/>
      <c r="SHQ68" s="55"/>
      <c r="SHS68" s="55"/>
      <c r="SHU68" s="55"/>
      <c r="SHW68" s="55"/>
      <c r="SHY68" s="55"/>
      <c r="SIA68" s="55"/>
      <c r="SIC68" s="55"/>
      <c r="SIE68" s="55"/>
      <c r="SIG68" s="55"/>
      <c r="SII68" s="55"/>
      <c r="SIK68" s="55"/>
      <c r="SIM68" s="55"/>
      <c r="SIO68" s="55"/>
      <c r="SIQ68" s="55"/>
      <c r="SIS68" s="55"/>
      <c r="SIU68" s="55"/>
      <c r="SIW68" s="55"/>
      <c r="SIY68" s="55"/>
      <c r="SJA68" s="55"/>
      <c r="SJC68" s="55"/>
      <c r="SJE68" s="55"/>
      <c r="SJG68" s="55"/>
      <c r="SJI68" s="55"/>
      <c r="SJK68" s="55"/>
      <c r="SJM68" s="55"/>
      <c r="SJO68" s="55"/>
      <c r="SJQ68" s="55"/>
      <c r="SJS68" s="55"/>
      <c r="SJU68" s="55"/>
      <c r="SJW68" s="55"/>
      <c r="SJY68" s="55"/>
      <c r="SKA68" s="55"/>
      <c r="SKC68" s="55"/>
      <c r="SKE68" s="55"/>
      <c r="SKG68" s="55"/>
      <c r="SKI68" s="55"/>
      <c r="SKK68" s="55"/>
      <c r="SKM68" s="55"/>
      <c r="SKO68" s="55"/>
      <c r="SKQ68" s="55"/>
      <c r="SKS68" s="55"/>
      <c r="SKU68" s="55"/>
      <c r="SKW68" s="55"/>
      <c r="SKY68" s="55"/>
      <c r="SLA68" s="55"/>
      <c r="SLC68" s="55"/>
      <c r="SLE68" s="55"/>
      <c r="SLG68" s="55"/>
      <c r="SLI68" s="55"/>
      <c r="SLK68" s="55"/>
      <c r="SLM68" s="55"/>
      <c r="SLO68" s="55"/>
      <c r="SLQ68" s="55"/>
      <c r="SLS68" s="55"/>
      <c r="SLU68" s="55"/>
      <c r="SLW68" s="55"/>
      <c r="SLY68" s="55"/>
      <c r="SMA68" s="55"/>
      <c r="SMC68" s="55"/>
      <c r="SME68" s="55"/>
      <c r="SMG68" s="55"/>
      <c r="SMI68" s="55"/>
      <c r="SMK68" s="55"/>
      <c r="SMM68" s="55"/>
      <c r="SMO68" s="55"/>
      <c r="SMQ68" s="55"/>
      <c r="SMS68" s="55"/>
      <c r="SMU68" s="55"/>
      <c r="SMW68" s="55"/>
      <c r="SMY68" s="55"/>
      <c r="SNA68" s="55"/>
      <c r="SNC68" s="55"/>
      <c r="SNE68" s="55"/>
      <c r="SNG68" s="55"/>
      <c r="SNI68" s="55"/>
      <c r="SNK68" s="55"/>
      <c r="SNM68" s="55"/>
      <c r="SNO68" s="55"/>
      <c r="SNQ68" s="55"/>
      <c r="SNS68" s="55"/>
      <c r="SNU68" s="55"/>
      <c r="SNW68" s="55"/>
      <c r="SNY68" s="55"/>
      <c r="SOA68" s="55"/>
      <c r="SOC68" s="55"/>
      <c r="SOE68" s="55"/>
      <c r="SOG68" s="55"/>
      <c r="SOI68" s="55"/>
      <c r="SOK68" s="55"/>
      <c r="SOM68" s="55"/>
      <c r="SOO68" s="55"/>
      <c r="SOQ68" s="55"/>
      <c r="SOS68" s="55"/>
      <c r="SOU68" s="55"/>
      <c r="SOW68" s="55"/>
      <c r="SOY68" s="55"/>
      <c r="SPA68" s="55"/>
      <c r="SPC68" s="55"/>
      <c r="SPE68" s="55"/>
      <c r="SPG68" s="55"/>
      <c r="SPI68" s="55"/>
      <c r="SPK68" s="55"/>
      <c r="SPM68" s="55"/>
      <c r="SPO68" s="55"/>
      <c r="SPQ68" s="55"/>
      <c r="SPS68" s="55"/>
      <c r="SPU68" s="55"/>
      <c r="SPW68" s="55"/>
      <c r="SPY68" s="55"/>
      <c r="SQA68" s="55"/>
      <c r="SQC68" s="55"/>
      <c r="SQE68" s="55"/>
      <c r="SQG68" s="55"/>
      <c r="SQI68" s="55"/>
      <c r="SQK68" s="55"/>
      <c r="SQM68" s="55"/>
      <c r="SQO68" s="55"/>
      <c r="SQQ68" s="55"/>
      <c r="SQS68" s="55"/>
      <c r="SQU68" s="55"/>
      <c r="SQW68" s="55"/>
      <c r="SQY68" s="55"/>
      <c r="SRA68" s="55"/>
      <c r="SRC68" s="55"/>
      <c r="SRE68" s="55"/>
      <c r="SRG68" s="55"/>
      <c r="SRI68" s="55"/>
      <c r="SRK68" s="55"/>
      <c r="SRM68" s="55"/>
      <c r="SRO68" s="55"/>
      <c r="SRQ68" s="55"/>
      <c r="SRS68" s="55"/>
      <c r="SRU68" s="55"/>
      <c r="SRW68" s="55"/>
      <c r="SRY68" s="55"/>
      <c r="SSA68" s="55"/>
      <c r="SSC68" s="55"/>
      <c r="SSE68" s="55"/>
      <c r="SSG68" s="55"/>
      <c r="SSI68" s="55"/>
      <c r="SSK68" s="55"/>
      <c r="SSM68" s="55"/>
      <c r="SSO68" s="55"/>
      <c r="SSQ68" s="55"/>
      <c r="SSS68" s="55"/>
      <c r="SSU68" s="55"/>
      <c r="SSW68" s="55"/>
      <c r="SSY68" s="55"/>
      <c r="STA68" s="55"/>
      <c r="STC68" s="55"/>
      <c r="STE68" s="55"/>
      <c r="STG68" s="55"/>
      <c r="STI68" s="55"/>
      <c r="STK68" s="55"/>
      <c r="STM68" s="55"/>
      <c r="STO68" s="55"/>
      <c r="STQ68" s="55"/>
      <c r="STS68" s="55"/>
      <c r="STU68" s="55"/>
      <c r="STW68" s="55"/>
      <c r="STY68" s="55"/>
      <c r="SUA68" s="55"/>
      <c r="SUC68" s="55"/>
      <c r="SUE68" s="55"/>
      <c r="SUG68" s="55"/>
      <c r="SUI68" s="55"/>
      <c r="SUK68" s="55"/>
      <c r="SUM68" s="55"/>
      <c r="SUO68" s="55"/>
      <c r="SUQ68" s="55"/>
      <c r="SUS68" s="55"/>
      <c r="SUU68" s="55"/>
      <c r="SUW68" s="55"/>
      <c r="SUY68" s="55"/>
      <c r="SVA68" s="55"/>
      <c r="SVC68" s="55"/>
      <c r="SVE68" s="55"/>
      <c r="SVG68" s="55"/>
      <c r="SVI68" s="55"/>
      <c r="SVK68" s="55"/>
      <c r="SVM68" s="55"/>
      <c r="SVO68" s="55"/>
      <c r="SVQ68" s="55"/>
      <c r="SVS68" s="55"/>
      <c r="SVU68" s="55"/>
      <c r="SVW68" s="55"/>
      <c r="SVY68" s="55"/>
      <c r="SWA68" s="55"/>
      <c r="SWC68" s="55"/>
      <c r="SWE68" s="55"/>
      <c r="SWG68" s="55"/>
      <c r="SWI68" s="55"/>
      <c r="SWK68" s="55"/>
      <c r="SWM68" s="55"/>
      <c r="SWO68" s="55"/>
      <c r="SWQ68" s="55"/>
      <c r="SWS68" s="55"/>
      <c r="SWU68" s="55"/>
      <c r="SWW68" s="55"/>
      <c r="SWY68" s="55"/>
      <c r="SXA68" s="55"/>
      <c r="SXC68" s="55"/>
      <c r="SXE68" s="55"/>
      <c r="SXG68" s="55"/>
      <c r="SXI68" s="55"/>
      <c r="SXK68" s="55"/>
      <c r="SXM68" s="55"/>
      <c r="SXO68" s="55"/>
      <c r="SXQ68" s="55"/>
      <c r="SXS68" s="55"/>
      <c r="SXU68" s="55"/>
      <c r="SXW68" s="55"/>
      <c r="SXY68" s="55"/>
      <c r="SYA68" s="55"/>
      <c r="SYC68" s="55"/>
      <c r="SYE68" s="55"/>
      <c r="SYG68" s="55"/>
      <c r="SYI68" s="55"/>
      <c r="SYK68" s="55"/>
      <c r="SYM68" s="55"/>
      <c r="SYO68" s="55"/>
      <c r="SYQ68" s="55"/>
      <c r="SYS68" s="55"/>
      <c r="SYU68" s="55"/>
      <c r="SYW68" s="55"/>
      <c r="SYY68" s="55"/>
      <c r="SZA68" s="55"/>
      <c r="SZC68" s="55"/>
      <c r="SZE68" s="55"/>
      <c r="SZG68" s="55"/>
      <c r="SZI68" s="55"/>
      <c r="SZK68" s="55"/>
      <c r="SZM68" s="55"/>
      <c r="SZO68" s="55"/>
      <c r="SZQ68" s="55"/>
      <c r="SZS68" s="55"/>
      <c r="SZU68" s="55"/>
      <c r="SZW68" s="55"/>
      <c r="SZY68" s="55"/>
      <c r="TAA68" s="55"/>
      <c r="TAC68" s="55"/>
      <c r="TAE68" s="55"/>
      <c r="TAG68" s="55"/>
      <c r="TAI68" s="55"/>
      <c r="TAK68" s="55"/>
      <c r="TAM68" s="55"/>
      <c r="TAO68" s="55"/>
      <c r="TAQ68" s="55"/>
      <c r="TAS68" s="55"/>
      <c r="TAU68" s="55"/>
      <c r="TAW68" s="55"/>
      <c r="TAY68" s="55"/>
      <c r="TBA68" s="55"/>
      <c r="TBC68" s="55"/>
      <c r="TBE68" s="55"/>
      <c r="TBG68" s="55"/>
      <c r="TBI68" s="55"/>
      <c r="TBK68" s="55"/>
      <c r="TBM68" s="55"/>
      <c r="TBO68" s="55"/>
      <c r="TBQ68" s="55"/>
      <c r="TBS68" s="55"/>
      <c r="TBU68" s="55"/>
      <c r="TBW68" s="55"/>
      <c r="TBY68" s="55"/>
      <c r="TCA68" s="55"/>
      <c r="TCC68" s="55"/>
      <c r="TCE68" s="55"/>
      <c r="TCG68" s="55"/>
      <c r="TCI68" s="55"/>
      <c r="TCK68" s="55"/>
      <c r="TCM68" s="55"/>
      <c r="TCO68" s="55"/>
      <c r="TCQ68" s="55"/>
      <c r="TCS68" s="55"/>
      <c r="TCU68" s="55"/>
      <c r="TCW68" s="55"/>
      <c r="TCY68" s="55"/>
      <c r="TDA68" s="55"/>
      <c r="TDC68" s="55"/>
      <c r="TDE68" s="55"/>
      <c r="TDG68" s="55"/>
      <c r="TDI68" s="55"/>
      <c r="TDK68" s="55"/>
      <c r="TDM68" s="55"/>
      <c r="TDO68" s="55"/>
      <c r="TDQ68" s="55"/>
      <c r="TDS68" s="55"/>
      <c r="TDU68" s="55"/>
      <c r="TDW68" s="55"/>
      <c r="TDY68" s="55"/>
      <c r="TEA68" s="55"/>
      <c r="TEC68" s="55"/>
      <c r="TEE68" s="55"/>
      <c r="TEG68" s="55"/>
      <c r="TEI68" s="55"/>
      <c r="TEK68" s="55"/>
      <c r="TEM68" s="55"/>
      <c r="TEO68" s="55"/>
      <c r="TEQ68" s="55"/>
      <c r="TES68" s="55"/>
      <c r="TEU68" s="55"/>
      <c r="TEW68" s="55"/>
      <c r="TEY68" s="55"/>
      <c r="TFA68" s="55"/>
      <c r="TFC68" s="55"/>
      <c r="TFE68" s="55"/>
      <c r="TFG68" s="55"/>
      <c r="TFI68" s="55"/>
      <c r="TFK68" s="55"/>
      <c r="TFM68" s="55"/>
      <c r="TFO68" s="55"/>
      <c r="TFQ68" s="55"/>
      <c r="TFS68" s="55"/>
      <c r="TFU68" s="55"/>
      <c r="TFW68" s="55"/>
      <c r="TFY68" s="55"/>
      <c r="TGA68" s="55"/>
      <c r="TGC68" s="55"/>
      <c r="TGE68" s="55"/>
      <c r="TGG68" s="55"/>
      <c r="TGI68" s="55"/>
      <c r="TGK68" s="55"/>
      <c r="TGM68" s="55"/>
      <c r="TGO68" s="55"/>
      <c r="TGQ68" s="55"/>
      <c r="TGS68" s="55"/>
      <c r="TGU68" s="55"/>
      <c r="TGW68" s="55"/>
      <c r="TGY68" s="55"/>
      <c r="THA68" s="55"/>
      <c r="THC68" s="55"/>
      <c r="THE68" s="55"/>
      <c r="THG68" s="55"/>
      <c r="THI68" s="55"/>
      <c r="THK68" s="55"/>
      <c r="THM68" s="55"/>
      <c r="THO68" s="55"/>
      <c r="THQ68" s="55"/>
      <c r="THS68" s="55"/>
      <c r="THU68" s="55"/>
      <c r="THW68" s="55"/>
      <c r="THY68" s="55"/>
      <c r="TIA68" s="55"/>
      <c r="TIC68" s="55"/>
      <c r="TIE68" s="55"/>
      <c r="TIG68" s="55"/>
      <c r="TII68" s="55"/>
      <c r="TIK68" s="55"/>
      <c r="TIM68" s="55"/>
      <c r="TIO68" s="55"/>
      <c r="TIQ68" s="55"/>
      <c r="TIS68" s="55"/>
      <c r="TIU68" s="55"/>
      <c r="TIW68" s="55"/>
      <c r="TIY68" s="55"/>
      <c r="TJA68" s="55"/>
      <c r="TJC68" s="55"/>
      <c r="TJE68" s="55"/>
      <c r="TJG68" s="55"/>
      <c r="TJI68" s="55"/>
      <c r="TJK68" s="55"/>
      <c r="TJM68" s="55"/>
      <c r="TJO68" s="55"/>
      <c r="TJQ68" s="55"/>
      <c r="TJS68" s="55"/>
      <c r="TJU68" s="55"/>
      <c r="TJW68" s="55"/>
      <c r="TJY68" s="55"/>
      <c r="TKA68" s="55"/>
      <c r="TKC68" s="55"/>
      <c r="TKE68" s="55"/>
      <c r="TKG68" s="55"/>
      <c r="TKI68" s="55"/>
      <c r="TKK68" s="55"/>
      <c r="TKM68" s="55"/>
      <c r="TKO68" s="55"/>
      <c r="TKQ68" s="55"/>
      <c r="TKS68" s="55"/>
      <c r="TKU68" s="55"/>
      <c r="TKW68" s="55"/>
      <c r="TKY68" s="55"/>
      <c r="TLA68" s="55"/>
      <c r="TLC68" s="55"/>
      <c r="TLE68" s="55"/>
      <c r="TLG68" s="55"/>
      <c r="TLI68" s="55"/>
      <c r="TLK68" s="55"/>
      <c r="TLM68" s="55"/>
      <c r="TLO68" s="55"/>
      <c r="TLQ68" s="55"/>
      <c r="TLS68" s="55"/>
      <c r="TLU68" s="55"/>
      <c r="TLW68" s="55"/>
      <c r="TLY68" s="55"/>
      <c r="TMA68" s="55"/>
      <c r="TMC68" s="55"/>
      <c r="TME68" s="55"/>
      <c r="TMG68" s="55"/>
      <c r="TMI68" s="55"/>
      <c r="TMK68" s="55"/>
      <c r="TMM68" s="55"/>
      <c r="TMO68" s="55"/>
      <c r="TMQ68" s="55"/>
      <c r="TMS68" s="55"/>
      <c r="TMU68" s="55"/>
      <c r="TMW68" s="55"/>
      <c r="TMY68" s="55"/>
      <c r="TNA68" s="55"/>
      <c r="TNC68" s="55"/>
      <c r="TNE68" s="55"/>
      <c r="TNG68" s="55"/>
      <c r="TNI68" s="55"/>
      <c r="TNK68" s="55"/>
      <c r="TNM68" s="55"/>
      <c r="TNO68" s="55"/>
      <c r="TNQ68" s="55"/>
      <c r="TNS68" s="55"/>
      <c r="TNU68" s="55"/>
      <c r="TNW68" s="55"/>
      <c r="TNY68" s="55"/>
      <c r="TOA68" s="55"/>
      <c r="TOC68" s="55"/>
      <c r="TOE68" s="55"/>
      <c r="TOG68" s="55"/>
      <c r="TOI68" s="55"/>
      <c r="TOK68" s="55"/>
      <c r="TOM68" s="55"/>
      <c r="TOO68" s="55"/>
      <c r="TOQ68" s="55"/>
      <c r="TOS68" s="55"/>
      <c r="TOU68" s="55"/>
      <c r="TOW68" s="55"/>
      <c r="TOY68" s="55"/>
      <c r="TPA68" s="55"/>
      <c r="TPC68" s="55"/>
      <c r="TPE68" s="55"/>
      <c r="TPG68" s="55"/>
      <c r="TPI68" s="55"/>
      <c r="TPK68" s="55"/>
      <c r="TPM68" s="55"/>
      <c r="TPO68" s="55"/>
      <c r="TPQ68" s="55"/>
      <c r="TPS68" s="55"/>
      <c r="TPU68" s="55"/>
      <c r="TPW68" s="55"/>
      <c r="TPY68" s="55"/>
      <c r="TQA68" s="55"/>
      <c r="TQC68" s="55"/>
      <c r="TQE68" s="55"/>
      <c r="TQG68" s="55"/>
      <c r="TQI68" s="55"/>
      <c r="TQK68" s="55"/>
      <c r="TQM68" s="55"/>
      <c r="TQO68" s="55"/>
      <c r="TQQ68" s="55"/>
      <c r="TQS68" s="55"/>
      <c r="TQU68" s="55"/>
      <c r="TQW68" s="55"/>
      <c r="TQY68" s="55"/>
      <c r="TRA68" s="55"/>
      <c r="TRC68" s="55"/>
      <c r="TRE68" s="55"/>
      <c r="TRG68" s="55"/>
      <c r="TRI68" s="55"/>
      <c r="TRK68" s="55"/>
      <c r="TRM68" s="55"/>
      <c r="TRO68" s="55"/>
      <c r="TRQ68" s="55"/>
      <c r="TRS68" s="55"/>
      <c r="TRU68" s="55"/>
      <c r="TRW68" s="55"/>
      <c r="TRY68" s="55"/>
      <c r="TSA68" s="55"/>
      <c r="TSC68" s="55"/>
      <c r="TSE68" s="55"/>
      <c r="TSG68" s="55"/>
      <c r="TSI68" s="55"/>
      <c r="TSK68" s="55"/>
      <c r="TSM68" s="55"/>
      <c r="TSO68" s="55"/>
      <c r="TSQ68" s="55"/>
      <c r="TSS68" s="55"/>
      <c r="TSU68" s="55"/>
      <c r="TSW68" s="55"/>
      <c r="TSY68" s="55"/>
      <c r="TTA68" s="55"/>
      <c r="TTC68" s="55"/>
      <c r="TTE68" s="55"/>
      <c r="TTG68" s="55"/>
      <c r="TTI68" s="55"/>
      <c r="TTK68" s="55"/>
      <c r="TTM68" s="55"/>
      <c r="TTO68" s="55"/>
      <c r="TTQ68" s="55"/>
      <c r="TTS68" s="55"/>
      <c r="TTU68" s="55"/>
      <c r="TTW68" s="55"/>
      <c r="TTY68" s="55"/>
      <c r="TUA68" s="55"/>
      <c r="TUC68" s="55"/>
      <c r="TUE68" s="55"/>
      <c r="TUG68" s="55"/>
      <c r="TUI68" s="55"/>
      <c r="TUK68" s="55"/>
      <c r="TUM68" s="55"/>
      <c r="TUO68" s="55"/>
      <c r="TUQ68" s="55"/>
      <c r="TUS68" s="55"/>
      <c r="TUU68" s="55"/>
      <c r="TUW68" s="55"/>
      <c r="TUY68" s="55"/>
      <c r="TVA68" s="55"/>
      <c r="TVC68" s="55"/>
      <c r="TVE68" s="55"/>
      <c r="TVG68" s="55"/>
      <c r="TVI68" s="55"/>
      <c r="TVK68" s="55"/>
      <c r="TVM68" s="55"/>
      <c r="TVO68" s="55"/>
      <c r="TVQ68" s="55"/>
      <c r="TVS68" s="55"/>
      <c r="TVU68" s="55"/>
      <c r="TVW68" s="55"/>
      <c r="TVY68" s="55"/>
      <c r="TWA68" s="55"/>
      <c r="TWC68" s="55"/>
      <c r="TWE68" s="55"/>
      <c r="TWG68" s="55"/>
      <c r="TWI68" s="55"/>
      <c r="TWK68" s="55"/>
      <c r="TWM68" s="55"/>
      <c r="TWO68" s="55"/>
      <c r="TWQ68" s="55"/>
      <c r="TWS68" s="55"/>
      <c r="TWU68" s="55"/>
      <c r="TWW68" s="55"/>
      <c r="TWY68" s="55"/>
      <c r="TXA68" s="55"/>
      <c r="TXC68" s="55"/>
      <c r="TXE68" s="55"/>
      <c r="TXG68" s="55"/>
      <c r="TXI68" s="55"/>
      <c r="TXK68" s="55"/>
      <c r="TXM68" s="55"/>
      <c r="TXO68" s="55"/>
      <c r="TXQ68" s="55"/>
      <c r="TXS68" s="55"/>
      <c r="TXU68" s="55"/>
      <c r="TXW68" s="55"/>
      <c r="TXY68" s="55"/>
      <c r="TYA68" s="55"/>
      <c r="TYC68" s="55"/>
      <c r="TYE68" s="55"/>
      <c r="TYG68" s="55"/>
      <c r="TYI68" s="55"/>
      <c r="TYK68" s="55"/>
      <c r="TYM68" s="55"/>
      <c r="TYO68" s="55"/>
      <c r="TYQ68" s="55"/>
      <c r="TYS68" s="55"/>
      <c r="TYU68" s="55"/>
      <c r="TYW68" s="55"/>
      <c r="TYY68" s="55"/>
      <c r="TZA68" s="55"/>
      <c r="TZC68" s="55"/>
      <c r="TZE68" s="55"/>
      <c r="TZG68" s="55"/>
      <c r="TZI68" s="55"/>
      <c r="TZK68" s="55"/>
      <c r="TZM68" s="55"/>
      <c r="TZO68" s="55"/>
      <c r="TZQ68" s="55"/>
      <c r="TZS68" s="55"/>
      <c r="TZU68" s="55"/>
      <c r="TZW68" s="55"/>
      <c r="TZY68" s="55"/>
      <c r="UAA68" s="55"/>
      <c r="UAC68" s="55"/>
      <c r="UAE68" s="55"/>
      <c r="UAG68" s="55"/>
      <c r="UAI68" s="55"/>
      <c r="UAK68" s="55"/>
      <c r="UAM68" s="55"/>
      <c r="UAO68" s="55"/>
      <c r="UAQ68" s="55"/>
      <c r="UAS68" s="55"/>
      <c r="UAU68" s="55"/>
      <c r="UAW68" s="55"/>
      <c r="UAY68" s="55"/>
      <c r="UBA68" s="55"/>
      <c r="UBC68" s="55"/>
      <c r="UBE68" s="55"/>
      <c r="UBG68" s="55"/>
      <c r="UBI68" s="55"/>
      <c r="UBK68" s="55"/>
      <c r="UBM68" s="55"/>
      <c r="UBO68" s="55"/>
      <c r="UBQ68" s="55"/>
      <c r="UBS68" s="55"/>
      <c r="UBU68" s="55"/>
      <c r="UBW68" s="55"/>
      <c r="UBY68" s="55"/>
      <c r="UCA68" s="55"/>
      <c r="UCC68" s="55"/>
      <c r="UCE68" s="55"/>
      <c r="UCG68" s="55"/>
      <c r="UCI68" s="55"/>
      <c r="UCK68" s="55"/>
      <c r="UCM68" s="55"/>
      <c r="UCO68" s="55"/>
      <c r="UCQ68" s="55"/>
      <c r="UCS68" s="55"/>
      <c r="UCU68" s="55"/>
      <c r="UCW68" s="55"/>
      <c r="UCY68" s="55"/>
      <c r="UDA68" s="55"/>
      <c r="UDC68" s="55"/>
      <c r="UDE68" s="55"/>
      <c r="UDG68" s="55"/>
      <c r="UDI68" s="55"/>
      <c r="UDK68" s="55"/>
      <c r="UDM68" s="55"/>
      <c r="UDO68" s="55"/>
      <c r="UDQ68" s="55"/>
      <c r="UDS68" s="55"/>
      <c r="UDU68" s="55"/>
      <c r="UDW68" s="55"/>
      <c r="UDY68" s="55"/>
      <c r="UEA68" s="55"/>
      <c r="UEC68" s="55"/>
      <c r="UEE68" s="55"/>
      <c r="UEG68" s="55"/>
      <c r="UEI68" s="55"/>
      <c r="UEK68" s="55"/>
      <c r="UEM68" s="55"/>
      <c r="UEO68" s="55"/>
      <c r="UEQ68" s="55"/>
      <c r="UES68" s="55"/>
      <c r="UEU68" s="55"/>
      <c r="UEW68" s="55"/>
      <c r="UEY68" s="55"/>
      <c r="UFA68" s="55"/>
      <c r="UFC68" s="55"/>
      <c r="UFE68" s="55"/>
      <c r="UFG68" s="55"/>
      <c r="UFI68" s="55"/>
      <c r="UFK68" s="55"/>
      <c r="UFM68" s="55"/>
      <c r="UFO68" s="55"/>
      <c r="UFQ68" s="55"/>
      <c r="UFS68" s="55"/>
      <c r="UFU68" s="55"/>
      <c r="UFW68" s="55"/>
      <c r="UFY68" s="55"/>
      <c r="UGA68" s="55"/>
      <c r="UGC68" s="55"/>
      <c r="UGE68" s="55"/>
      <c r="UGG68" s="55"/>
      <c r="UGI68" s="55"/>
      <c r="UGK68" s="55"/>
      <c r="UGM68" s="55"/>
      <c r="UGO68" s="55"/>
      <c r="UGQ68" s="55"/>
      <c r="UGS68" s="55"/>
      <c r="UGU68" s="55"/>
      <c r="UGW68" s="55"/>
      <c r="UGY68" s="55"/>
      <c r="UHA68" s="55"/>
      <c r="UHC68" s="55"/>
      <c r="UHE68" s="55"/>
      <c r="UHG68" s="55"/>
      <c r="UHI68" s="55"/>
      <c r="UHK68" s="55"/>
      <c r="UHM68" s="55"/>
      <c r="UHO68" s="55"/>
      <c r="UHQ68" s="55"/>
      <c r="UHS68" s="55"/>
      <c r="UHU68" s="55"/>
      <c r="UHW68" s="55"/>
      <c r="UHY68" s="55"/>
      <c r="UIA68" s="55"/>
      <c r="UIC68" s="55"/>
      <c r="UIE68" s="55"/>
      <c r="UIG68" s="55"/>
      <c r="UII68" s="55"/>
      <c r="UIK68" s="55"/>
      <c r="UIM68" s="55"/>
      <c r="UIO68" s="55"/>
      <c r="UIQ68" s="55"/>
      <c r="UIS68" s="55"/>
      <c r="UIU68" s="55"/>
      <c r="UIW68" s="55"/>
      <c r="UIY68" s="55"/>
      <c r="UJA68" s="55"/>
      <c r="UJC68" s="55"/>
      <c r="UJE68" s="55"/>
      <c r="UJG68" s="55"/>
      <c r="UJI68" s="55"/>
      <c r="UJK68" s="55"/>
      <c r="UJM68" s="55"/>
      <c r="UJO68" s="55"/>
      <c r="UJQ68" s="55"/>
      <c r="UJS68" s="55"/>
      <c r="UJU68" s="55"/>
      <c r="UJW68" s="55"/>
      <c r="UJY68" s="55"/>
      <c r="UKA68" s="55"/>
      <c r="UKC68" s="55"/>
      <c r="UKE68" s="55"/>
      <c r="UKG68" s="55"/>
      <c r="UKI68" s="55"/>
      <c r="UKK68" s="55"/>
      <c r="UKM68" s="55"/>
      <c r="UKO68" s="55"/>
      <c r="UKQ68" s="55"/>
      <c r="UKS68" s="55"/>
      <c r="UKU68" s="55"/>
      <c r="UKW68" s="55"/>
      <c r="UKY68" s="55"/>
      <c r="ULA68" s="55"/>
      <c r="ULC68" s="55"/>
      <c r="ULE68" s="55"/>
      <c r="ULG68" s="55"/>
      <c r="ULI68" s="55"/>
      <c r="ULK68" s="55"/>
      <c r="ULM68" s="55"/>
      <c r="ULO68" s="55"/>
      <c r="ULQ68" s="55"/>
      <c r="ULS68" s="55"/>
      <c r="ULU68" s="55"/>
      <c r="ULW68" s="55"/>
      <c r="ULY68" s="55"/>
      <c r="UMA68" s="55"/>
      <c r="UMC68" s="55"/>
      <c r="UME68" s="55"/>
      <c r="UMG68" s="55"/>
      <c r="UMI68" s="55"/>
      <c r="UMK68" s="55"/>
      <c r="UMM68" s="55"/>
      <c r="UMO68" s="55"/>
      <c r="UMQ68" s="55"/>
      <c r="UMS68" s="55"/>
      <c r="UMU68" s="55"/>
      <c r="UMW68" s="55"/>
      <c r="UMY68" s="55"/>
      <c r="UNA68" s="55"/>
      <c r="UNC68" s="55"/>
      <c r="UNE68" s="55"/>
      <c r="UNG68" s="55"/>
      <c r="UNI68" s="55"/>
      <c r="UNK68" s="55"/>
      <c r="UNM68" s="55"/>
      <c r="UNO68" s="55"/>
      <c r="UNQ68" s="55"/>
      <c r="UNS68" s="55"/>
      <c r="UNU68" s="55"/>
      <c r="UNW68" s="55"/>
      <c r="UNY68" s="55"/>
      <c r="UOA68" s="55"/>
      <c r="UOC68" s="55"/>
      <c r="UOE68" s="55"/>
      <c r="UOG68" s="55"/>
      <c r="UOI68" s="55"/>
      <c r="UOK68" s="55"/>
      <c r="UOM68" s="55"/>
      <c r="UOO68" s="55"/>
      <c r="UOQ68" s="55"/>
      <c r="UOS68" s="55"/>
      <c r="UOU68" s="55"/>
      <c r="UOW68" s="55"/>
      <c r="UOY68" s="55"/>
      <c r="UPA68" s="55"/>
      <c r="UPC68" s="55"/>
      <c r="UPE68" s="55"/>
      <c r="UPG68" s="55"/>
      <c r="UPI68" s="55"/>
      <c r="UPK68" s="55"/>
      <c r="UPM68" s="55"/>
      <c r="UPO68" s="55"/>
      <c r="UPQ68" s="55"/>
      <c r="UPS68" s="55"/>
      <c r="UPU68" s="55"/>
      <c r="UPW68" s="55"/>
      <c r="UPY68" s="55"/>
      <c r="UQA68" s="55"/>
      <c r="UQC68" s="55"/>
      <c r="UQE68" s="55"/>
      <c r="UQG68" s="55"/>
      <c r="UQI68" s="55"/>
      <c r="UQK68" s="55"/>
      <c r="UQM68" s="55"/>
      <c r="UQO68" s="55"/>
      <c r="UQQ68" s="55"/>
      <c r="UQS68" s="55"/>
      <c r="UQU68" s="55"/>
      <c r="UQW68" s="55"/>
      <c r="UQY68" s="55"/>
      <c r="URA68" s="55"/>
      <c r="URC68" s="55"/>
      <c r="URE68" s="55"/>
      <c r="URG68" s="55"/>
      <c r="URI68" s="55"/>
      <c r="URK68" s="55"/>
      <c r="URM68" s="55"/>
      <c r="URO68" s="55"/>
      <c r="URQ68" s="55"/>
      <c r="URS68" s="55"/>
      <c r="URU68" s="55"/>
      <c r="URW68" s="55"/>
      <c r="URY68" s="55"/>
      <c r="USA68" s="55"/>
      <c r="USC68" s="55"/>
      <c r="USE68" s="55"/>
      <c r="USG68" s="55"/>
      <c r="USI68" s="55"/>
      <c r="USK68" s="55"/>
      <c r="USM68" s="55"/>
      <c r="USO68" s="55"/>
      <c r="USQ68" s="55"/>
      <c r="USS68" s="55"/>
      <c r="USU68" s="55"/>
      <c r="USW68" s="55"/>
      <c r="USY68" s="55"/>
      <c r="UTA68" s="55"/>
      <c r="UTC68" s="55"/>
      <c r="UTE68" s="55"/>
      <c r="UTG68" s="55"/>
      <c r="UTI68" s="55"/>
      <c r="UTK68" s="55"/>
      <c r="UTM68" s="55"/>
      <c r="UTO68" s="55"/>
      <c r="UTQ68" s="55"/>
      <c r="UTS68" s="55"/>
      <c r="UTU68" s="55"/>
      <c r="UTW68" s="55"/>
      <c r="UTY68" s="55"/>
      <c r="UUA68" s="55"/>
      <c r="UUC68" s="55"/>
      <c r="UUE68" s="55"/>
      <c r="UUG68" s="55"/>
      <c r="UUI68" s="55"/>
      <c r="UUK68" s="55"/>
      <c r="UUM68" s="55"/>
      <c r="UUO68" s="55"/>
      <c r="UUQ68" s="55"/>
      <c r="UUS68" s="55"/>
      <c r="UUU68" s="55"/>
      <c r="UUW68" s="55"/>
      <c r="UUY68" s="55"/>
      <c r="UVA68" s="55"/>
      <c r="UVC68" s="55"/>
      <c r="UVE68" s="55"/>
      <c r="UVG68" s="55"/>
      <c r="UVI68" s="55"/>
      <c r="UVK68" s="55"/>
      <c r="UVM68" s="55"/>
      <c r="UVO68" s="55"/>
      <c r="UVQ68" s="55"/>
      <c r="UVS68" s="55"/>
      <c r="UVU68" s="55"/>
      <c r="UVW68" s="55"/>
      <c r="UVY68" s="55"/>
      <c r="UWA68" s="55"/>
      <c r="UWC68" s="55"/>
      <c r="UWE68" s="55"/>
      <c r="UWG68" s="55"/>
      <c r="UWI68" s="55"/>
      <c r="UWK68" s="55"/>
      <c r="UWM68" s="55"/>
      <c r="UWO68" s="55"/>
      <c r="UWQ68" s="55"/>
      <c r="UWS68" s="55"/>
      <c r="UWU68" s="55"/>
      <c r="UWW68" s="55"/>
      <c r="UWY68" s="55"/>
      <c r="UXA68" s="55"/>
      <c r="UXC68" s="55"/>
      <c r="UXE68" s="55"/>
      <c r="UXG68" s="55"/>
      <c r="UXI68" s="55"/>
      <c r="UXK68" s="55"/>
      <c r="UXM68" s="55"/>
      <c r="UXO68" s="55"/>
      <c r="UXQ68" s="55"/>
      <c r="UXS68" s="55"/>
      <c r="UXU68" s="55"/>
      <c r="UXW68" s="55"/>
      <c r="UXY68" s="55"/>
      <c r="UYA68" s="55"/>
      <c r="UYC68" s="55"/>
      <c r="UYE68" s="55"/>
      <c r="UYG68" s="55"/>
      <c r="UYI68" s="55"/>
      <c r="UYK68" s="55"/>
      <c r="UYM68" s="55"/>
      <c r="UYO68" s="55"/>
      <c r="UYQ68" s="55"/>
      <c r="UYS68" s="55"/>
      <c r="UYU68" s="55"/>
      <c r="UYW68" s="55"/>
      <c r="UYY68" s="55"/>
      <c r="UZA68" s="55"/>
      <c r="UZC68" s="55"/>
      <c r="UZE68" s="55"/>
      <c r="UZG68" s="55"/>
      <c r="UZI68" s="55"/>
      <c r="UZK68" s="55"/>
      <c r="UZM68" s="55"/>
      <c r="UZO68" s="55"/>
      <c r="UZQ68" s="55"/>
      <c r="UZS68" s="55"/>
      <c r="UZU68" s="55"/>
      <c r="UZW68" s="55"/>
      <c r="UZY68" s="55"/>
      <c r="VAA68" s="55"/>
      <c r="VAC68" s="55"/>
      <c r="VAE68" s="55"/>
      <c r="VAG68" s="55"/>
      <c r="VAI68" s="55"/>
      <c r="VAK68" s="55"/>
      <c r="VAM68" s="55"/>
      <c r="VAO68" s="55"/>
      <c r="VAQ68" s="55"/>
      <c r="VAS68" s="55"/>
      <c r="VAU68" s="55"/>
      <c r="VAW68" s="55"/>
      <c r="VAY68" s="55"/>
      <c r="VBA68" s="55"/>
      <c r="VBC68" s="55"/>
      <c r="VBE68" s="55"/>
      <c r="VBG68" s="55"/>
      <c r="VBI68" s="55"/>
      <c r="VBK68" s="55"/>
      <c r="VBM68" s="55"/>
      <c r="VBO68" s="55"/>
      <c r="VBQ68" s="55"/>
      <c r="VBS68" s="55"/>
      <c r="VBU68" s="55"/>
      <c r="VBW68" s="55"/>
      <c r="VBY68" s="55"/>
      <c r="VCA68" s="55"/>
      <c r="VCC68" s="55"/>
      <c r="VCE68" s="55"/>
      <c r="VCG68" s="55"/>
      <c r="VCI68" s="55"/>
      <c r="VCK68" s="55"/>
      <c r="VCM68" s="55"/>
      <c r="VCO68" s="55"/>
      <c r="VCQ68" s="55"/>
      <c r="VCS68" s="55"/>
      <c r="VCU68" s="55"/>
      <c r="VCW68" s="55"/>
      <c r="VCY68" s="55"/>
      <c r="VDA68" s="55"/>
      <c r="VDC68" s="55"/>
      <c r="VDE68" s="55"/>
      <c r="VDG68" s="55"/>
      <c r="VDI68" s="55"/>
      <c r="VDK68" s="55"/>
      <c r="VDM68" s="55"/>
      <c r="VDO68" s="55"/>
      <c r="VDQ68" s="55"/>
      <c r="VDS68" s="55"/>
      <c r="VDU68" s="55"/>
      <c r="VDW68" s="55"/>
      <c r="VDY68" s="55"/>
      <c r="VEA68" s="55"/>
      <c r="VEC68" s="55"/>
      <c r="VEE68" s="55"/>
      <c r="VEG68" s="55"/>
      <c r="VEI68" s="55"/>
      <c r="VEK68" s="55"/>
      <c r="VEM68" s="55"/>
      <c r="VEO68" s="55"/>
      <c r="VEQ68" s="55"/>
      <c r="VES68" s="55"/>
      <c r="VEU68" s="55"/>
      <c r="VEW68" s="55"/>
      <c r="VEY68" s="55"/>
      <c r="VFA68" s="55"/>
      <c r="VFC68" s="55"/>
      <c r="VFE68" s="55"/>
      <c r="VFG68" s="55"/>
      <c r="VFI68" s="55"/>
      <c r="VFK68" s="55"/>
      <c r="VFM68" s="55"/>
      <c r="VFO68" s="55"/>
      <c r="VFQ68" s="55"/>
      <c r="VFS68" s="55"/>
      <c r="VFU68" s="55"/>
      <c r="VFW68" s="55"/>
      <c r="VFY68" s="55"/>
      <c r="VGA68" s="55"/>
      <c r="VGC68" s="55"/>
      <c r="VGE68" s="55"/>
      <c r="VGG68" s="55"/>
      <c r="VGI68" s="55"/>
      <c r="VGK68" s="55"/>
      <c r="VGM68" s="55"/>
      <c r="VGO68" s="55"/>
      <c r="VGQ68" s="55"/>
      <c r="VGS68" s="55"/>
      <c r="VGU68" s="55"/>
      <c r="VGW68" s="55"/>
      <c r="VGY68" s="55"/>
      <c r="VHA68" s="55"/>
      <c r="VHC68" s="55"/>
      <c r="VHE68" s="55"/>
      <c r="VHG68" s="55"/>
      <c r="VHI68" s="55"/>
      <c r="VHK68" s="55"/>
      <c r="VHM68" s="55"/>
      <c r="VHO68" s="55"/>
      <c r="VHQ68" s="55"/>
      <c r="VHS68" s="55"/>
      <c r="VHU68" s="55"/>
      <c r="VHW68" s="55"/>
      <c r="VHY68" s="55"/>
      <c r="VIA68" s="55"/>
      <c r="VIC68" s="55"/>
      <c r="VIE68" s="55"/>
      <c r="VIG68" s="55"/>
      <c r="VII68" s="55"/>
      <c r="VIK68" s="55"/>
      <c r="VIM68" s="55"/>
      <c r="VIO68" s="55"/>
      <c r="VIQ68" s="55"/>
      <c r="VIS68" s="55"/>
      <c r="VIU68" s="55"/>
      <c r="VIW68" s="55"/>
      <c r="VIY68" s="55"/>
      <c r="VJA68" s="55"/>
      <c r="VJC68" s="55"/>
      <c r="VJE68" s="55"/>
      <c r="VJG68" s="55"/>
      <c r="VJI68" s="55"/>
      <c r="VJK68" s="55"/>
      <c r="VJM68" s="55"/>
      <c r="VJO68" s="55"/>
      <c r="VJQ68" s="55"/>
      <c r="VJS68" s="55"/>
      <c r="VJU68" s="55"/>
      <c r="VJW68" s="55"/>
      <c r="VJY68" s="55"/>
      <c r="VKA68" s="55"/>
      <c r="VKC68" s="55"/>
      <c r="VKE68" s="55"/>
      <c r="VKG68" s="55"/>
      <c r="VKI68" s="55"/>
      <c r="VKK68" s="55"/>
      <c r="VKM68" s="55"/>
      <c r="VKO68" s="55"/>
      <c r="VKQ68" s="55"/>
      <c r="VKS68" s="55"/>
      <c r="VKU68" s="55"/>
      <c r="VKW68" s="55"/>
      <c r="VKY68" s="55"/>
      <c r="VLA68" s="55"/>
      <c r="VLC68" s="55"/>
      <c r="VLE68" s="55"/>
      <c r="VLG68" s="55"/>
      <c r="VLI68" s="55"/>
      <c r="VLK68" s="55"/>
      <c r="VLM68" s="55"/>
      <c r="VLO68" s="55"/>
      <c r="VLQ68" s="55"/>
      <c r="VLS68" s="55"/>
      <c r="VLU68" s="55"/>
      <c r="VLW68" s="55"/>
      <c r="VLY68" s="55"/>
      <c r="VMA68" s="55"/>
      <c r="VMC68" s="55"/>
      <c r="VME68" s="55"/>
      <c r="VMG68" s="55"/>
      <c r="VMI68" s="55"/>
      <c r="VMK68" s="55"/>
      <c r="VMM68" s="55"/>
      <c r="VMO68" s="55"/>
      <c r="VMQ68" s="55"/>
      <c r="VMS68" s="55"/>
      <c r="VMU68" s="55"/>
      <c r="VMW68" s="55"/>
      <c r="VMY68" s="55"/>
      <c r="VNA68" s="55"/>
      <c r="VNC68" s="55"/>
      <c r="VNE68" s="55"/>
      <c r="VNG68" s="55"/>
      <c r="VNI68" s="55"/>
      <c r="VNK68" s="55"/>
      <c r="VNM68" s="55"/>
      <c r="VNO68" s="55"/>
      <c r="VNQ68" s="55"/>
      <c r="VNS68" s="55"/>
      <c r="VNU68" s="55"/>
      <c r="VNW68" s="55"/>
      <c r="VNY68" s="55"/>
      <c r="VOA68" s="55"/>
      <c r="VOC68" s="55"/>
      <c r="VOE68" s="55"/>
      <c r="VOG68" s="55"/>
      <c r="VOI68" s="55"/>
      <c r="VOK68" s="55"/>
      <c r="VOM68" s="55"/>
      <c r="VOO68" s="55"/>
      <c r="VOQ68" s="55"/>
      <c r="VOS68" s="55"/>
      <c r="VOU68" s="55"/>
      <c r="VOW68" s="55"/>
      <c r="VOY68" s="55"/>
      <c r="VPA68" s="55"/>
      <c r="VPC68" s="55"/>
      <c r="VPE68" s="55"/>
      <c r="VPG68" s="55"/>
      <c r="VPI68" s="55"/>
      <c r="VPK68" s="55"/>
      <c r="VPM68" s="55"/>
      <c r="VPO68" s="55"/>
      <c r="VPQ68" s="55"/>
      <c r="VPS68" s="55"/>
      <c r="VPU68" s="55"/>
      <c r="VPW68" s="55"/>
      <c r="VPY68" s="55"/>
      <c r="VQA68" s="55"/>
      <c r="VQC68" s="55"/>
      <c r="VQE68" s="55"/>
      <c r="VQG68" s="55"/>
      <c r="VQI68" s="55"/>
      <c r="VQK68" s="55"/>
      <c r="VQM68" s="55"/>
      <c r="VQO68" s="55"/>
      <c r="VQQ68" s="55"/>
      <c r="VQS68" s="55"/>
      <c r="VQU68" s="55"/>
      <c r="VQW68" s="55"/>
      <c r="VQY68" s="55"/>
      <c r="VRA68" s="55"/>
      <c r="VRC68" s="55"/>
      <c r="VRE68" s="55"/>
      <c r="VRG68" s="55"/>
      <c r="VRI68" s="55"/>
      <c r="VRK68" s="55"/>
      <c r="VRM68" s="55"/>
      <c r="VRO68" s="55"/>
      <c r="VRQ68" s="55"/>
      <c r="VRS68" s="55"/>
      <c r="VRU68" s="55"/>
      <c r="VRW68" s="55"/>
      <c r="VRY68" s="55"/>
      <c r="VSA68" s="55"/>
      <c r="VSC68" s="55"/>
      <c r="VSE68" s="55"/>
      <c r="VSG68" s="55"/>
      <c r="VSI68" s="55"/>
      <c r="VSK68" s="55"/>
      <c r="VSM68" s="55"/>
      <c r="VSO68" s="55"/>
      <c r="VSQ68" s="55"/>
      <c r="VSS68" s="55"/>
      <c r="VSU68" s="55"/>
      <c r="VSW68" s="55"/>
      <c r="VSY68" s="55"/>
      <c r="VTA68" s="55"/>
      <c r="VTC68" s="55"/>
      <c r="VTE68" s="55"/>
      <c r="VTG68" s="55"/>
      <c r="VTI68" s="55"/>
      <c r="VTK68" s="55"/>
      <c r="VTM68" s="55"/>
      <c r="VTO68" s="55"/>
      <c r="VTQ68" s="55"/>
      <c r="VTS68" s="55"/>
      <c r="VTU68" s="55"/>
      <c r="VTW68" s="55"/>
      <c r="VTY68" s="55"/>
      <c r="VUA68" s="55"/>
      <c r="VUC68" s="55"/>
      <c r="VUE68" s="55"/>
      <c r="VUG68" s="55"/>
      <c r="VUI68" s="55"/>
      <c r="VUK68" s="55"/>
      <c r="VUM68" s="55"/>
      <c r="VUO68" s="55"/>
      <c r="VUQ68" s="55"/>
      <c r="VUS68" s="55"/>
      <c r="VUU68" s="55"/>
      <c r="VUW68" s="55"/>
      <c r="VUY68" s="55"/>
      <c r="VVA68" s="55"/>
      <c r="VVC68" s="55"/>
      <c r="VVE68" s="55"/>
      <c r="VVG68" s="55"/>
      <c r="VVI68" s="55"/>
      <c r="VVK68" s="55"/>
      <c r="VVM68" s="55"/>
      <c r="VVO68" s="55"/>
      <c r="VVQ68" s="55"/>
      <c r="VVS68" s="55"/>
      <c r="VVU68" s="55"/>
      <c r="VVW68" s="55"/>
      <c r="VVY68" s="55"/>
      <c r="VWA68" s="55"/>
      <c r="VWC68" s="55"/>
      <c r="VWE68" s="55"/>
      <c r="VWG68" s="55"/>
      <c r="VWI68" s="55"/>
      <c r="VWK68" s="55"/>
      <c r="VWM68" s="55"/>
      <c r="VWO68" s="55"/>
      <c r="VWQ68" s="55"/>
      <c r="VWS68" s="55"/>
      <c r="VWU68" s="55"/>
      <c r="VWW68" s="55"/>
      <c r="VWY68" s="55"/>
      <c r="VXA68" s="55"/>
      <c r="VXC68" s="55"/>
      <c r="VXE68" s="55"/>
      <c r="VXG68" s="55"/>
      <c r="VXI68" s="55"/>
      <c r="VXK68" s="55"/>
      <c r="VXM68" s="55"/>
      <c r="VXO68" s="55"/>
      <c r="VXQ68" s="55"/>
      <c r="VXS68" s="55"/>
      <c r="VXU68" s="55"/>
      <c r="VXW68" s="55"/>
      <c r="VXY68" s="55"/>
      <c r="VYA68" s="55"/>
      <c r="VYC68" s="55"/>
      <c r="VYE68" s="55"/>
      <c r="VYG68" s="55"/>
      <c r="VYI68" s="55"/>
      <c r="VYK68" s="55"/>
      <c r="VYM68" s="55"/>
      <c r="VYO68" s="55"/>
      <c r="VYQ68" s="55"/>
      <c r="VYS68" s="55"/>
      <c r="VYU68" s="55"/>
      <c r="VYW68" s="55"/>
      <c r="VYY68" s="55"/>
      <c r="VZA68" s="55"/>
      <c r="VZC68" s="55"/>
      <c r="VZE68" s="55"/>
      <c r="VZG68" s="55"/>
      <c r="VZI68" s="55"/>
      <c r="VZK68" s="55"/>
      <c r="VZM68" s="55"/>
      <c r="VZO68" s="55"/>
      <c r="VZQ68" s="55"/>
      <c r="VZS68" s="55"/>
      <c r="VZU68" s="55"/>
      <c r="VZW68" s="55"/>
      <c r="VZY68" s="55"/>
      <c r="WAA68" s="55"/>
      <c r="WAC68" s="55"/>
      <c r="WAE68" s="55"/>
      <c r="WAG68" s="55"/>
      <c r="WAI68" s="55"/>
      <c r="WAK68" s="55"/>
      <c r="WAM68" s="55"/>
      <c r="WAO68" s="55"/>
      <c r="WAQ68" s="55"/>
      <c r="WAS68" s="55"/>
      <c r="WAU68" s="55"/>
      <c r="WAW68" s="55"/>
      <c r="WAY68" s="55"/>
      <c r="WBA68" s="55"/>
      <c r="WBC68" s="55"/>
      <c r="WBE68" s="55"/>
      <c r="WBG68" s="55"/>
      <c r="WBI68" s="55"/>
      <c r="WBK68" s="55"/>
      <c r="WBM68" s="55"/>
      <c r="WBO68" s="55"/>
      <c r="WBQ68" s="55"/>
      <c r="WBS68" s="55"/>
      <c r="WBU68" s="55"/>
      <c r="WBW68" s="55"/>
      <c r="WBY68" s="55"/>
      <c r="WCA68" s="55"/>
      <c r="WCC68" s="55"/>
      <c r="WCE68" s="55"/>
      <c r="WCG68" s="55"/>
      <c r="WCI68" s="55"/>
      <c r="WCK68" s="55"/>
      <c r="WCM68" s="55"/>
      <c r="WCO68" s="55"/>
      <c r="WCQ68" s="55"/>
      <c r="WCS68" s="55"/>
      <c r="WCU68" s="55"/>
      <c r="WCW68" s="55"/>
      <c r="WCY68" s="55"/>
      <c r="WDA68" s="55"/>
      <c r="WDC68" s="55"/>
      <c r="WDE68" s="55"/>
      <c r="WDG68" s="55"/>
      <c r="WDI68" s="55"/>
      <c r="WDK68" s="55"/>
      <c r="WDM68" s="55"/>
      <c r="WDO68" s="55"/>
      <c r="WDQ68" s="55"/>
      <c r="WDS68" s="55"/>
      <c r="WDU68" s="55"/>
      <c r="WDW68" s="55"/>
      <c r="WDY68" s="55"/>
      <c r="WEA68" s="55"/>
      <c r="WEC68" s="55"/>
      <c r="WEE68" s="55"/>
      <c r="WEG68" s="55"/>
      <c r="WEI68" s="55"/>
      <c r="WEK68" s="55"/>
      <c r="WEM68" s="55"/>
      <c r="WEO68" s="55"/>
      <c r="WEQ68" s="55"/>
      <c r="WES68" s="55"/>
      <c r="WEU68" s="55"/>
      <c r="WEW68" s="55"/>
      <c r="WEY68" s="55"/>
      <c r="WFA68" s="55"/>
      <c r="WFC68" s="55"/>
      <c r="WFE68" s="55"/>
      <c r="WFG68" s="55"/>
      <c r="WFI68" s="55"/>
      <c r="WFK68" s="55"/>
      <c r="WFM68" s="55"/>
      <c r="WFO68" s="55"/>
      <c r="WFQ68" s="55"/>
      <c r="WFS68" s="55"/>
      <c r="WFU68" s="55"/>
      <c r="WFW68" s="55"/>
      <c r="WFY68" s="55"/>
      <c r="WGA68" s="55"/>
      <c r="WGC68" s="55"/>
      <c r="WGE68" s="55"/>
      <c r="WGG68" s="55"/>
      <c r="WGI68" s="55"/>
      <c r="WGK68" s="55"/>
      <c r="WGM68" s="55"/>
      <c r="WGO68" s="55"/>
      <c r="WGQ68" s="55"/>
      <c r="WGS68" s="55"/>
      <c r="WGU68" s="55"/>
      <c r="WGW68" s="55"/>
      <c r="WGY68" s="55"/>
      <c r="WHA68" s="55"/>
      <c r="WHC68" s="55"/>
      <c r="WHE68" s="55"/>
      <c r="WHG68" s="55"/>
      <c r="WHI68" s="55"/>
      <c r="WHK68" s="55"/>
      <c r="WHM68" s="55"/>
      <c r="WHO68" s="55"/>
      <c r="WHQ68" s="55"/>
      <c r="WHS68" s="55"/>
      <c r="WHU68" s="55"/>
      <c r="WHW68" s="55"/>
      <c r="WHY68" s="55"/>
      <c r="WIA68" s="55"/>
      <c r="WIC68" s="55"/>
      <c r="WIE68" s="55"/>
      <c r="WIG68" s="55"/>
      <c r="WII68" s="55"/>
      <c r="WIK68" s="55"/>
      <c r="WIM68" s="55"/>
      <c r="WIO68" s="55"/>
      <c r="WIQ68" s="55"/>
      <c r="WIS68" s="55"/>
      <c r="WIU68" s="55"/>
      <c r="WIW68" s="55"/>
      <c r="WIY68" s="55"/>
      <c r="WJA68" s="55"/>
      <c r="WJC68" s="55"/>
      <c r="WJE68" s="55"/>
      <c r="WJG68" s="55"/>
      <c r="WJI68" s="55"/>
      <c r="WJK68" s="55"/>
      <c r="WJM68" s="55"/>
      <c r="WJO68" s="55"/>
      <c r="WJQ68" s="55"/>
      <c r="WJS68" s="55"/>
      <c r="WJU68" s="55"/>
      <c r="WJW68" s="55"/>
      <c r="WJY68" s="55"/>
      <c r="WKA68" s="55"/>
      <c r="WKC68" s="55"/>
      <c r="WKE68" s="55"/>
      <c r="WKG68" s="55"/>
      <c r="WKI68" s="55"/>
      <c r="WKK68" s="55"/>
      <c r="WKM68" s="55"/>
      <c r="WKO68" s="55"/>
      <c r="WKQ68" s="55"/>
      <c r="WKS68" s="55"/>
      <c r="WKU68" s="55"/>
      <c r="WKW68" s="55"/>
      <c r="WKY68" s="55"/>
      <c r="WLA68" s="55"/>
      <c r="WLC68" s="55"/>
      <c r="WLE68" s="55"/>
      <c r="WLG68" s="55"/>
      <c r="WLI68" s="55"/>
      <c r="WLK68" s="55"/>
      <c r="WLM68" s="55"/>
      <c r="WLO68" s="55"/>
      <c r="WLQ68" s="55"/>
      <c r="WLS68" s="55"/>
      <c r="WLU68" s="55"/>
      <c r="WLW68" s="55"/>
      <c r="WLY68" s="55"/>
      <c r="WMA68" s="55"/>
      <c r="WMC68" s="55"/>
      <c r="WME68" s="55"/>
      <c r="WMG68" s="55"/>
      <c r="WMI68" s="55"/>
      <c r="WMK68" s="55"/>
      <c r="WMM68" s="55"/>
      <c r="WMO68" s="55"/>
      <c r="WMQ68" s="55"/>
      <c r="WMS68" s="55"/>
      <c r="WMU68" s="55"/>
      <c r="WMW68" s="55"/>
      <c r="WMY68" s="55"/>
      <c r="WNA68" s="55"/>
      <c r="WNC68" s="55"/>
      <c r="WNE68" s="55"/>
      <c r="WNG68" s="55"/>
      <c r="WNI68" s="55"/>
      <c r="WNK68" s="55"/>
      <c r="WNM68" s="55"/>
      <c r="WNO68" s="55"/>
      <c r="WNQ68" s="55"/>
      <c r="WNS68" s="55"/>
      <c r="WNU68" s="55"/>
      <c r="WNW68" s="55"/>
      <c r="WNY68" s="55"/>
      <c r="WOA68" s="55"/>
      <c r="WOC68" s="55"/>
      <c r="WOE68" s="55"/>
      <c r="WOG68" s="55"/>
      <c r="WOI68" s="55"/>
      <c r="WOK68" s="55"/>
      <c r="WOM68" s="55"/>
      <c r="WOO68" s="55"/>
      <c r="WOQ68" s="55"/>
      <c r="WOS68" s="55"/>
      <c r="WOU68" s="55"/>
      <c r="WOW68" s="55"/>
      <c r="WOY68" s="55"/>
      <c r="WPA68" s="55"/>
      <c r="WPC68" s="55"/>
      <c r="WPE68" s="55"/>
      <c r="WPG68" s="55"/>
      <c r="WPI68" s="55"/>
      <c r="WPK68" s="55"/>
      <c r="WPM68" s="55"/>
      <c r="WPO68" s="55"/>
      <c r="WPQ68" s="55"/>
      <c r="WPS68" s="55"/>
      <c r="WPU68" s="55"/>
      <c r="WPW68" s="55"/>
      <c r="WPY68" s="55"/>
      <c r="WQA68" s="55"/>
      <c r="WQC68" s="55"/>
      <c r="WQE68" s="55"/>
      <c r="WQG68" s="55"/>
      <c r="WQI68" s="55"/>
      <c r="WQK68" s="55"/>
      <c r="WQM68" s="55"/>
      <c r="WQO68" s="55"/>
      <c r="WQQ68" s="55"/>
      <c r="WQS68" s="55"/>
      <c r="WQU68" s="55"/>
      <c r="WQW68" s="55"/>
      <c r="WQY68" s="55"/>
      <c r="WRA68" s="55"/>
      <c r="WRC68" s="55"/>
      <c r="WRE68" s="55"/>
      <c r="WRG68" s="55"/>
      <c r="WRI68" s="55"/>
      <c r="WRK68" s="55"/>
      <c r="WRM68" s="55"/>
      <c r="WRO68" s="55"/>
      <c r="WRQ68" s="55"/>
      <c r="WRS68" s="55"/>
      <c r="WRU68" s="55"/>
      <c r="WRW68" s="55"/>
      <c r="WRY68" s="55"/>
      <c r="WSA68" s="55"/>
      <c r="WSC68" s="55"/>
      <c r="WSE68" s="55"/>
      <c r="WSG68" s="55"/>
      <c r="WSI68" s="55"/>
      <c r="WSK68" s="55"/>
      <c r="WSM68" s="55"/>
      <c r="WSO68" s="55"/>
      <c r="WSQ68" s="55"/>
      <c r="WSS68" s="55"/>
      <c r="WSU68" s="55"/>
      <c r="WSW68" s="55"/>
      <c r="WSY68" s="55"/>
      <c r="WTA68" s="55"/>
      <c r="WTC68" s="55"/>
      <c r="WTE68" s="55"/>
      <c r="WTG68" s="55"/>
      <c r="WTI68" s="55"/>
      <c r="WTK68" s="55"/>
      <c r="WTM68" s="55"/>
      <c r="WTO68" s="55"/>
      <c r="WTQ68" s="55"/>
      <c r="WTS68" s="55"/>
      <c r="WTU68" s="55"/>
      <c r="WTW68" s="55"/>
      <c r="WTY68" s="55"/>
      <c r="WUA68" s="55"/>
      <c r="WUC68" s="55"/>
      <c r="WUE68" s="55"/>
      <c r="WUG68" s="55"/>
      <c r="WUI68" s="55"/>
      <c r="WUK68" s="55"/>
      <c r="WUM68" s="55"/>
      <c r="WUO68" s="55"/>
      <c r="WUQ68" s="55"/>
      <c r="WUS68" s="55"/>
      <c r="WUU68" s="55"/>
      <c r="WUW68" s="55"/>
      <c r="WUY68" s="55"/>
      <c r="WVA68" s="55"/>
      <c r="WVC68" s="55"/>
      <c r="WVE68" s="55"/>
      <c r="WVG68" s="55"/>
      <c r="WVI68" s="55"/>
      <c r="WVK68" s="55"/>
      <c r="WVM68" s="55"/>
      <c r="WVO68" s="55"/>
      <c r="WVQ68" s="55"/>
      <c r="WVS68" s="55"/>
      <c r="WVU68" s="55"/>
      <c r="WVW68" s="55"/>
      <c r="WVY68" s="55"/>
      <c r="WWA68" s="55"/>
      <c r="WWC68" s="55"/>
      <c r="WWE68" s="55"/>
      <c r="WWG68" s="55"/>
      <c r="WWI68" s="55"/>
      <c r="WWK68" s="55"/>
      <c r="WWM68" s="55"/>
      <c r="WWO68" s="55"/>
      <c r="WWQ68" s="55"/>
      <c r="WWS68" s="55"/>
      <c r="WWU68" s="55"/>
      <c r="WWW68" s="55"/>
      <c r="WWY68" s="55"/>
      <c r="WXA68" s="55"/>
      <c r="WXC68" s="55"/>
      <c r="WXE68" s="55"/>
      <c r="WXG68" s="55"/>
      <c r="WXI68" s="55"/>
      <c r="WXK68" s="55"/>
      <c r="WXM68" s="55"/>
      <c r="WXO68" s="55"/>
      <c r="WXQ68" s="55"/>
      <c r="WXS68" s="55"/>
      <c r="WXU68" s="55"/>
      <c r="WXW68" s="55"/>
      <c r="WXY68" s="55"/>
      <c r="WYA68" s="55"/>
      <c r="WYC68" s="55"/>
      <c r="WYE68" s="55"/>
      <c r="WYG68" s="55"/>
      <c r="WYI68" s="55"/>
      <c r="WYK68" s="55"/>
      <c r="WYM68" s="55"/>
      <c r="WYO68" s="55"/>
      <c r="WYQ68" s="55"/>
      <c r="WYS68" s="55"/>
      <c r="WYU68" s="55"/>
      <c r="WYW68" s="55"/>
      <c r="WYY68" s="55"/>
      <c r="WZA68" s="55"/>
      <c r="WZC68" s="55"/>
      <c r="WZE68" s="55"/>
      <c r="WZG68" s="55"/>
      <c r="WZI68" s="55"/>
      <c r="WZK68" s="55"/>
      <c r="WZM68" s="55"/>
      <c r="WZO68" s="55"/>
      <c r="WZQ68" s="55"/>
      <c r="WZS68" s="55"/>
      <c r="WZU68" s="55"/>
      <c r="WZW68" s="55"/>
      <c r="WZY68" s="55"/>
      <c r="XAA68" s="55"/>
      <c r="XAC68" s="55"/>
      <c r="XAE68" s="55"/>
      <c r="XAG68" s="55"/>
      <c r="XAI68" s="55"/>
      <c r="XAK68" s="55"/>
      <c r="XAM68" s="55"/>
      <c r="XAO68" s="55"/>
      <c r="XAQ68" s="55"/>
      <c r="XAS68" s="55"/>
      <c r="XAU68" s="55"/>
      <c r="XAW68" s="55"/>
      <c r="XAY68" s="55"/>
      <c r="XBA68" s="55"/>
      <c r="XBC68" s="55"/>
      <c r="XBE68" s="55"/>
      <c r="XBG68" s="55"/>
      <c r="XBI68" s="55"/>
      <c r="XBK68" s="55"/>
      <c r="XBM68" s="55"/>
      <c r="XBO68" s="55"/>
      <c r="XBQ68" s="55"/>
      <c r="XBS68" s="55"/>
      <c r="XBU68" s="55"/>
      <c r="XBW68" s="55"/>
      <c r="XBY68" s="55"/>
      <c r="XCA68" s="55"/>
      <c r="XCC68" s="55"/>
      <c r="XCE68" s="55"/>
      <c r="XCG68" s="55"/>
      <c r="XCI68" s="55"/>
      <c r="XCK68" s="55"/>
      <c r="XCM68" s="55"/>
      <c r="XCO68" s="55"/>
      <c r="XCQ68" s="55"/>
      <c r="XCS68" s="55"/>
      <c r="XCU68" s="55"/>
      <c r="XCW68" s="55"/>
      <c r="XCY68" s="55"/>
      <c r="XDA68" s="55"/>
      <c r="XDC68" s="55"/>
      <c r="XDE68" s="55"/>
      <c r="XDG68" s="55"/>
      <c r="XDI68" s="55"/>
      <c r="XDK68" s="55"/>
      <c r="XDM68" s="55"/>
      <c r="XDO68" s="55"/>
      <c r="XDQ68" s="55"/>
      <c r="XDS68" s="55"/>
      <c r="XDU68" s="55"/>
      <c r="XDW68" s="55"/>
      <c r="XDY68" s="55"/>
      <c r="XEA68" s="55"/>
      <c r="XEC68" s="55"/>
      <c r="XEE68" s="55"/>
      <c r="XEG68" s="55"/>
      <c r="XEI68" s="55"/>
      <c r="XEK68" s="55"/>
      <c r="XEM68" s="55"/>
      <c r="XEO68" s="55"/>
      <c r="XEQ68" s="55"/>
      <c r="XES68" s="55"/>
      <c r="XEU68" s="55"/>
      <c r="XEW68" s="55"/>
      <c r="XEY68" s="55"/>
      <c r="XFA68" s="55"/>
      <c r="XFC68" s="55"/>
    </row>
    <row r="69" spans="1:1023 1025:2047 2049:3071 3073:4095 4097:5119 5121:6143 6145:7167 7169:8191 8193:9215 9217:10239 10241:11263 11265:12287 12289:13311 13313:14335 14337:15359 15361:16383" ht="15.6" x14ac:dyDescent="0.3">
      <c r="F69" s="968"/>
      <c r="G69" s="967" t="s">
        <v>354</v>
      </c>
      <c r="H69" s="968"/>
      <c r="I69" s="263"/>
      <c r="J69" s="913" t="s">
        <v>266</v>
      </c>
      <c r="K69" s="997">
        <f>AVERAGE(K46,K49,K51:K55,K57,K63:K64,K66:K67)</f>
        <v>3.4409157018888172E-2</v>
      </c>
      <c r="L69" s="997">
        <f>AVERAGE(L46,L49,L52:L55,L57,L63:L64,L66:L67)</f>
        <v>4.1883985957924939</v>
      </c>
      <c r="AJ69" s="924"/>
      <c r="AK69" s="914"/>
      <c r="AL69" s="1"/>
      <c r="AM69" s="918"/>
      <c r="AN69" s="925"/>
      <c r="AO69" s="925"/>
      <c r="AQ69" s="927"/>
      <c r="AR69" s="914"/>
      <c r="AS69" s="1"/>
      <c r="AT69" s="918"/>
      <c r="AU69" s="925"/>
      <c r="AV69" s="925"/>
    </row>
    <row r="70" spans="1:1023 1025:2047 2049:3071 3073:4095 4097:5119 5121:6143 6145:7167 7169:8191 8193:9215 9217:10239 10241:11263 11265:12287 12289:13311 13313:14335 14337:15359 15361:16383" ht="15.6" x14ac:dyDescent="0.3">
      <c r="F70" s="263"/>
      <c r="G70" s="1"/>
      <c r="H70" s="263"/>
      <c r="I70" s="263"/>
      <c r="J70" s="263"/>
      <c r="K70" s="945"/>
      <c r="L70" s="945"/>
      <c r="AJ70" s="924"/>
      <c r="AK70" s="914"/>
      <c r="AL70" s="1"/>
      <c r="AM70" s="918"/>
      <c r="AN70" s="925"/>
      <c r="AO70" s="925"/>
      <c r="AQ70" s="927"/>
      <c r="AR70" s="914"/>
      <c r="AS70" s="1"/>
      <c r="AT70" s="918"/>
      <c r="AU70" s="925"/>
      <c r="AV70" s="925"/>
    </row>
    <row r="71" spans="1:1023 1025:2047 2049:3071 3073:4095 4097:5119 5121:6143 6145:7167 7169:8191 8193:9215 9217:10239 10241:11263 11265:12287 12289:13311 13313:14335 14337:15359 15361:16383" ht="15.6" x14ac:dyDescent="0.3">
      <c r="F71" s="263"/>
      <c r="G71" s="1"/>
      <c r="H71" s="263"/>
      <c r="I71" s="263"/>
      <c r="J71" s="263"/>
      <c r="K71" s="945"/>
      <c r="L71" s="945"/>
      <c r="AJ71" s="924"/>
      <c r="AK71" s="914"/>
      <c r="AL71" s="1"/>
      <c r="AM71" s="918"/>
      <c r="AN71" s="925"/>
      <c r="AO71" s="925"/>
      <c r="AQ71" s="927"/>
      <c r="AR71" s="914"/>
      <c r="AS71" s="1"/>
      <c r="AT71" s="918"/>
      <c r="AU71" s="925"/>
      <c r="AV71" s="925"/>
    </row>
    <row r="72" spans="1:1023 1025:2047 2049:3071 3073:4095 4097:5119 5121:6143 6145:7167 7169:8191 8193:9215 9217:10239 10241:11263 11265:12287 12289:13311 13313:14335 14337:15359 15361:16383" ht="15.6" x14ac:dyDescent="0.3">
      <c r="A72" s="8" t="s">
        <v>253</v>
      </c>
      <c r="B72" s="8"/>
      <c r="C72" s="8"/>
      <c r="D72" s="8"/>
      <c r="E72" s="8"/>
      <c r="F72" s="8"/>
      <c r="G72" s="8"/>
      <c r="X72" s="922"/>
      <c r="Y72" s="921"/>
      <c r="Z72" s="1"/>
      <c r="AA72" s="919"/>
      <c r="AB72" s="923"/>
      <c r="AC72" s="923"/>
      <c r="AE72" s="934"/>
      <c r="AF72" s="921"/>
      <c r="AG72" s="1"/>
      <c r="AH72" s="918"/>
      <c r="AI72" s="923"/>
      <c r="AJ72" s="923"/>
    </row>
    <row r="73" spans="1:1023 1025:2047 2049:3071 3073:4095 4097:5119 5121:6143 6145:7167 7169:8191 8193:9215 9217:10239 10241:11263 11265:12287 12289:13311 13313:14335 14337:15359 15361:16383" ht="15.6" x14ac:dyDescent="0.3">
      <c r="A73" s="8"/>
      <c r="B73" s="990" t="s">
        <v>254</v>
      </c>
      <c r="C73" s="8" t="s">
        <v>255</v>
      </c>
      <c r="D73" s="991" t="s">
        <v>255</v>
      </c>
      <c r="E73" s="941" t="s">
        <v>256</v>
      </c>
      <c r="F73" s="941" t="s">
        <v>257</v>
      </c>
      <c r="G73" s="941" t="s">
        <v>258</v>
      </c>
      <c r="H73" s="135"/>
      <c r="I73" s="135"/>
      <c r="X73" s="924"/>
      <c r="Y73" s="921"/>
      <c r="Z73" s="1"/>
      <c r="AA73" s="919"/>
      <c r="AB73" s="925"/>
      <c r="AC73" s="925"/>
      <c r="AE73" s="927"/>
      <c r="AF73" s="921"/>
      <c r="AG73" s="1"/>
      <c r="AH73" s="918"/>
      <c r="AI73" s="925"/>
      <c r="AJ73" s="925"/>
    </row>
    <row r="74" spans="1:1023 1025:2047 2049:3071 3073:4095 4097:5119 5121:6143 6145:7167 7169:8191 8193:9215 9217:10239 10241:11263 11265:12287 12289:13311 13313:14335 14337:15359 15361:16383" ht="21" x14ac:dyDescent="0.4">
      <c r="A74" s="938"/>
      <c r="B74" s="264"/>
      <c r="C74" s="939"/>
      <c r="D74" s="939"/>
      <c r="E74" s="264"/>
      <c r="F74" s="940"/>
      <c r="G74" s="264"/>
      <c r="H74" s="941"/>
      <c r="I74" s="942"/>
      <c r="X74" s="922"/>
      <c r="Y74" s="926"/>
      <c r="Z74" s="1"/>
      <c r="AA74" s="918"/>
      <c r="AB74" s="64"/>
      <c r="AC74" s="923"/>
      <c r="AE74" s="934"/>
      <c r="AF74" s="926"/>
      <c r="AG74" s="1"/>
      <c r="AH74" s="918"/>
      <c r="AI74" s="64"/>
      <c r="AJ74" s="923"/>
    </row>
    <row r="75" spans="1:1023 1025:2047 2049:3071 3073:4095 4097:5119 5121:6143 6145:7167 7169:8191 8193:9215 9217:10239 10241:11263 11265:12287 12289:13311 13313:14335 14337:15359 15361:16383" ht="15.6" x14ac:dyDescent="0.3">
      <c r="B75" s="1">
        <v>0</v>
      </c>
      <c r="C75">
        <v>0.1062</v>
      </c>
      <c r="D75">
        <v>9.1499999999999998E-2</v>
      </c>
      <c r="E75" s="1">
        <v>9.8849999999999993E-2</v>
      </c>
      <c r="F75" s="135">
        <v>0</v>
      </c>
      <c r="G75" s="1">
        <v>-2.3222304105307325E-2</v>
      </c>
      <c r="H75" s="135"/>
      <c r="I75" s="943"/>
      <c r="J75" s="55"/>
      <c r="X75" s="924"/>
      <c r="Y75" s="914"/>
      <c r="Z75" s="1"/>
      <c r="AA75" s="918"/>
      <c r="AB75" s="923"/>
      <c r="AC75" s="923"/>
      <c r="AE75" s="927"/>
      <c r="AF75" s="914"/>
      <c r="AG75" s="1"/>
      <c r="AH75" s="918"/>
      <c r="AI75" s="923"/>
      <c r="AJ75" s="923"/>
    </row>
    <row r="76" spans="1:1023 1025:2047 2049:3071 3073:4095 4097:5119 5121:6143 6145:7167 7169:8191 8193:9215 9217:10239 10241:11263 11265:12287 12289:13311 13313:14335 14337:15359 15361:16383" ht="15.6" x14ac:dyDescent="0.3">
      <c r="B76" s="263">
        <v>0.125</v>
      </c>
      <c r="C76">
        <v>0.17460000000000001</v>
      </c>
      <c r="D76">
        <v>0.16470000000000001</v>
      </c>
      <c r="E76" s="135">
        <v>0.16965000000000002</v>
      </c>
      <c r="F76" s="135">
        <v>7.080000000000003E-2</v>
      </c>
      <c r="G76" s="135">
        <v>0.13573427950649916</v>
      </c>
      <c r="H76" s="135"/>
      <c r="I76" s="944"/>
      <c r="J76" s="55"/>
      <c r="X76" s="922"/>
      <c r="Y76" s="921"/>
      <c r="Z76" s="1"/>
      <c r="AA76" s="919"/>
      <c r="AB76" s="923"/>
      <c r="AC76" s="923"/>
      <c r="AE76" s="934"/>
      <c r="AF76" s="921"/>
      <c r="AG76" s="1"/>
      <c r="AH76" s="918"/>
      <c r="AI76" s="64"/>
      <c r="AJ76" s="923"/>
    </row>
    <row r="77" spans="1:1023 1025:2047 2049:3071 3073:4095 4097:5119 5121:6143 6145:7167 7169:8191 8193:9215 9217:10239 10241:11263 11265:12287 12289:13311 13313:14335 14337:15359 15361:16383" ht="15.6" x14ac:dyDescent="0.3">
      <c r="B77" s="263">
        <v>0.25</v>
      </c>
      <c r="C77">
        <v>0.2235</v>
      </c>
      <c r="D77">
        <v>0.21779999999999999</v>
      </c>
      <c r="E77" s="135">
        <v>0.22065000000000001</v>
      </c>
      <c r="F77" s="135">
        <v>0.12180000000000002</v>
      </c>
      <c r="G77" s="135">
        <v>0.25023690329466475</v>
      </c>
      <c r="H77" s="135"/>
      <c r="I77" s="941"/>
      <c r="J77" s="55"/>
      <c r="X77" s="924"/>
      <c r="Y77" s="914"/>
      <c r="Z77" s="1"/>
      <c r="AA77" s="919"/>
      <c r="AB77" s="925"/>
      <c r="AC77" s="925"/>
      <c r="AE77" s="927"/>
      <c r="AF77" s="914"/>
      <c r="AG77" s="1"/>
      <c r="AH77" s="918"/>
      <c r="AI77" s="925"/>
      <c r="AJ77" s="925"/>
    </row>
    <row r="78" spans="1:1023 1025:2047 2049:3071 3073:4095 4097:5119 5121:6143 6145:7167 7169:8191 8193:9215 9217:10239 10241:11263 11265:12287 12289:13311 13313:14335 14337:15359 15361:16383" ht="15.6" x14ac:dyDescent="0.3">
      <c r="B78" s="263">
        <v>0.5</v>
      </c>
      <c r="C78">
        <v>0.31640000000000001</v>
      </c>
      <c r="D78">
        <v>0.30640000000000001</v>
      </c>
      <c r="E78" s="135">
        <v>0.31140000000000001</v>
      </c>
      <c r="F78" s="135">
        <v>0.21255000000000002</v>
      </c>
      <c r="G78" s="135">
        <v>0.45398421915301834</v>
      </c>
      <c r="H78" s="135"/>
      <c r="I78" s="945"/>
      <c r="X78" s="922"/>
      <c r="Y78" s="921"/>
      <c r="Z78" s="1"/>
      <c r="AA78" s="918"/>
      <c r="AB78" s="64"/>
      <c r="AC78" s="923"/>
      <c r="AE78" s="934"/>
      <c r="AF78" s="921"/>
      <c r="AG78" s="1"/>
      <c r="AH78" s="918"/>
      <c r="AI78" s="64"/>
      <c r="AJ78" s="923"/>
    </row>
    <row r="79" spans="1:1023 1025:2047 2049:3071 3073:4095 4097:5119 5121:6143 6145:7167 7169:8191 8193:9215 9217:10239 10241:11263 11265:12287 12289:13311 13313:14335 14337:15359 15361:16383" ht="15.6" x14ac:dyDescent="0.3">
      <c r="B79" s="263">
        <v>0.75</v>
      </c>
      <c r="C79">
        <v>0.44409999999999999</v>
      </c>
      <c r="D79">
        <v>0.4526</v>
      </c>
      <c r="E79" s="135">
        <v>0.44835000000000003</v>
      </c>
      <c r="F79" s="135">
        <v>0.34950000000000003</v>
      </c>
      <c r="G79" s="135">
        <v>0.7614574412665337</v>
      </c>
      <c r="H79" s="135"/>
      <c r="I79" s="1"/>
      <c r="X79" s="922"/>
      <c r="Y79" s="921"/>
      <c r="Z79" s="1"/>
      <c r="AA79" s="918"/>
      <c r="AB79" s="925"/>
      <c r="AC79" s="925"/>
      <c r="AE79" s="934"/>
      <c r="AF79" s="921"/>
      <c r="AG79" s="1"/>
      <c r="AH79" s="918"/>
      <c r="AI79" s="925"/>
      <c r="AJ79" s="925"/>
    </row>
    <row r="80" spans="1:1023 1025:2047 2049:3071 3073:4095 4097:5119 5121:6143 6145:7167 7169:8191 8193:9215 9217:10239 10241:11263 11265:12287 12289:13311 13313:14335 14337:15359 15361:16383" ht="15.6" x14ac:dyDescent="0.3">
      <c r="B80" s="263">
        <v>1</v>
      </c>
      <c r="C80">
        <v>0.5514</v>
      </c>
      <c r="D80">
        <v>0.58220000000000005</v>
      </c>
      <c r="E80" s="135">
        <v>0.56679999999999997</v>
      </c>
      <c r="F80" s="135">
        <v>0.46794999999999998</v>
      </c>
      <c r="G80" s="135">
        <v>1.0273953978882635</v>
      </c>
      <c r="H80" s="135"/>
      <c r="I80" s="1"/>
      <c r="J80" s="1"/>
      <c r="X80" s="922"/>
      <c r="Y80" s="921"/>
      <c r="Z80" s="1"/>
      <c r="AA80" s="919"/>
      <c r="AB80" s="923"/>
      <c r="AC80" s="923"/>
      <c r="AE80" s="934"/>
      <c r="AF80" s="921"/>
      <c r="AG80" s="1"/>
      <c r="AH80" s="918"/>
      <c r="AI80" s="64"/>
      <c r="AJ80" s="923"/>
    </row>
    <row r="81" spans="1:36" ht="15.6" x14ac:dyDescent="0.3">
      <c r="B81" s="263">
        <v>1.5</v>
      </c>
      <c r="C81">
        <v>0.82440000000000002</v>
      </c>
      <c r="D81">
        <v>0.82499999999999996</v>
      </c>
      <c r="E81" s="135">
        <v>0.82469999999999999</v>
      </c>
      <c r="F81" s="135">
        <v>0.72585</v>
      </c>
      <c r="G81" s="135">
        <v>1.6064194503386149</v>
      </c>
      <c r="H81" s="135"/>
      <c r="I81" s="1"/>
      <c r="J81" s="1"/>
      <c r="X81" s="924"/>
      <c r="Y81" s="921"/>
      <c r="Z81" s="1"/>
      <c r="AA81" s="919"/>
      <c r="AB81" s="923"/>
      <c r="AC81" s="923"/>
      <c r="AE81" s="927"/>
      <c r="AF81" s="921"/>
      <c r="AG81" s="1"/>
      <c r="AH81" s="918"/>
      <c r="AI81" s="923"/>
      <c r="AJ81" s="923"/>
    </row>
    <row r="82" spans="1:36" ht="15.6" x14ac:dyDescent="0.3">
      <c r="B82" s="263">
        <v>2</v>
      </c>
      <c r="C82">
        <v>0.95489999999999997</v>
      </c>
      <c r="D82">
        <v>0.96760000000000002</v>
      </c>
      <c r="E82" s="135">
        <v>0.96124999999999994</v>
      </c>
      <c r="F82" s="135">
        <v>0.86239999999999994</v>
      </c>
      <c r="G82" s="135">
        <v>1.9129946126577131</v>
      </c>
      <c r="H82" s="135"/>
      <c r="J82" s="1"/>
      <c r="X82" s="922"/>
      <c r="Y82" s="921"/>
      <c r="Z82" s="1"/>
      <c r="AA82" s="919"/>
      <c r="AB82" s="925"/>
      <c r="AC82" s="923"/>
      <c r="AE82" s="934"/>
      <c r="AF82" s="921"/>
      <c r="AG82" s="1"/>
      <c r="AH82" s="918"/>
      <c r="AI82" s="64"/>
      <c r="AJ82" s="923"/>
    </row>
    <row r="83" spans="1:36" ht="15.6" x14ac:dyDescent="0.3">
      <c r="B83" s="263"/>
      <c r="E83" s="135"/>
      <c r="F83" s="135"/>
      <c r="G83" s="135"/>
      <c r="H83" s="135"/>
      <c r="J83" s="1"/>
      <c r="X83" s="924"/>
      <c r="Y83" s="921"/>
      <c r="Z83" s="1"/>
      <c r="AA83" s="919"/>
      <c r="AB83" s="923"/>
      <c r="AC83" s="923"/>
      <c r="AE83" s="927"/>
      <c r="AF83" s="921"/>
      <c r="AG83" s="1"/>
      <c r="AH83" s="918"/>
      <c r="AI83" s="923"/>
      <c r="AJ83" s="923"/>
    </row>
    <row r="84" spans="1:36" ht="15.6" x14ac:dyDescent="0.3">
      <c r="B84" s="946"/>
      <c r="C84" s="910"/>
      <c r="D84" s="910"/>
      <c r="E84" s="135"/>
      <c r="F84" s="135"/>
      <c r="G84" s="135"/>
      <c r="H84" s="135"/>
      <c r="I84" s="947"/>
      <c r="J84" s="1"/>
      <c r="K84" s="948"/>
      <c r="L84" s="949"/>
      <c r="X84" s="922"/>
      <c r="Y84" s="921"/>
      <c r="Z84" s="1"/>
      <c r="AA84" s="919"/>
      <c r="AB84" s="923"/>
      <c r="AC84" s="923"/>
      <c r="AE84" s="934"/>
      <c r="AF84" s="921"/>
      <c r="AG84" s="1"/>
      <c r="AH84" s="918"/>
      <c r="AI84" s="923"/>
      <c r="AJ84" s="923"/>
    </row>
    <row r="85" spans="1:36" ht="15.6" x14ac:dyDescent="0.3">
      <c r="A85" t="s">
        <v>355</v>
      </c>
      <c r="B85" s="946"/>
      <c r="C85" s="910"/>
      <c r="D85" s="910"/>
      <c r="E85" s="135"/>
      <c r="F85" s="135"/>
      <c r="G85" s="135"/>
      <c r="H85" s="135" t="s">
        <v>258</v>
      </c>
      <c r="I85" s="947"/>
      <c r="J85" s="1"/>
      <c r="K85" s="1"/>
      <c r="L85" s="1"/>
      <c r="X85" s="924"/>
      <c r="Y85" s="921"/>
      <c r="Z85" s="1"/>
      <c r="AA85" s="919"/>
      <c r="AB85" s="925"/>
      <c r="AC85" s="925"/>
      <c r="AE85" s="927"/>
      <c r="AF85" s="921"/>
      <c r="AG85" s="1"/>
      <c r="AH85" s="918"/>
      <c r="AI85" s="925"/>
      <c r="AJ85" s="925"/>
    </row>
    <row r="86" spans="1:36" ht="15.6" x14ac:dyDescent="0.3">
      <c r="B86" s="951"/>
      <c r="C86" s="910" t="s">
        <v>255</v>
      </c>
      <c r="D86" s="910" t="s">
        <v>255</v>
      </c>
      <c r="E86" s="1" t="s">
        <v>256</v>
      </c>
      <c r="F86" s="135" t="s">
        <v>257</v>
      </c>
      <c r="G86" s="1" t="s">
        <v>258</v>
      </c>
      <c r="H86" s="135" t="s">
        <v>356</v>
      </c>
      <c r="I86" s="947"/>
      <c r="J86" s="1"/>
      <c r="L86" s="952"/>
      <c r="X86" s="922"/>
      <c r="Y86" s="921"/>
      <c r="Z86" s="1"/>
      <c r="AA86" s="919"/>
      <c r="AB86" s="925"/>
      <c r="AC86" s="923"/>
      <c r="AE86" s="934"/>
      <c r="AF86" s="921"/>
      <c r="AG86" s="5"/>
      <c r="AH86" s="918"/>
      <c r="AI86" s="64"/>
      <c r="AJ86" s="923"/>
    </row>
    <row r="87" spans="1:36" ht="15.6" x14ac:dyDescent="0.3">
      <c r="A87" s="950" t="s">
        <v>212</v>
      </c>
      <c r="B87" s="953" t="s">
        <v>243</v>
      </c>
      <c r="C87" s="954">
        <v>0.26679999999999998</v>
      </c>
      <c r="D87" s="954">
        <v>0.27650000000000002</v>
      </c>
      <c r="E87" s="264">
        <v>0.27165</v>
      </c>
      <c r="F87" s="940">
        <v>0.17280000000000001</v>
      </c>
      <c r="G87" s="264">
        <v>0.36473952708283036</v>
      </c>
      <c r="H87" s="955">
        <v>3.6473952708283037</v>
      </c>
      <c r="J87" s="956"/>
      <c r="L87" s="1"/>
      <c r="X87" s="924"/>
      <c r="Y87" s="921"/>
      <c r="Z87" s="1"/>
      <c r="AA87" s="919"/>
      <c r="AB87" s="925"/>
      <c r="AC87" s="925"/>
      <c r="AE87" s="927"/>
      <c r="AF87" s="921"/>
      <c r="AG87" s="1"/>
      <c r="AH87" s="918"/>
      <c r="AI87" s="925"/>
      <c r="AJ87" s="925"/>
    </row>
    <row r="88" spans="1:36" ht="15.6" x14ac:dyDescent="0.3">
      <c r="A88" t="s">
        <v>212</v>
      </c>
      <c r="B88" s="957" t="s">
        <v>244</v>
      </c>
      <c r="C88">
        <v>0.28689999999999999</v>
      </c>
      <c r="D88">
        <v>0.2863</v>
      </c>
      <c r="E88" s="135">
        <v>0.28659999999999997</v>
      </c>
      <c r="F88" s="135">
        <v>0.18774999999999997</v>
      </c>
      <c r="G88" s="135">
        <v>0.39830451189916516</v>
      </c>
      <c r="H88" s="958">
        <v>3.9830451189916518</v>
      </c>
      <c r="I88" s="65"/>
      <c r="J88" s="919"/>
      <c r="K88" s="919"/>
      <c r="L88" s="919"/>
      <c r="X88" s="922"/>
      <c r="Y88" s="921"/>
      <c r="Z88" s="1"/>
      <c r="AA88" s="919"/>
      <c r="AB88" s="923"/>
      <c r="AC88" s="923"/>
      <c r="AE88" s="934"/>
      <c r="AF88" s="921"/>
      <c r="AG88" s="1"/>
      <c r="AH88" s="918"/>
      <c r="AI88" s="923"/>
      <c r="AJ88" s="923"/>
    </row>
    <row r="89" spans="1:36" ht="15.6" x14ac:dyDescent="0.3">
      <c r="A89" t="s">
        <v>212</v>
      </c>
      <c r="B89" s="959" t="s">
        <v>245</v>
      </c>
      <c r="C89">
        <v>0.23860000000000001</v>
      </c>
      <c r="D89">
        <v>0.2319</v>
      </c>
      <c r="E89" s="135">
        <v>0.23525000000000001</v>
      </c>
      <c r="F89" s="135">
        <v>0.13640000000000002</v>
      </c>
      <c r="G89" s="135">
        <v>0.28301608579088472</v>
      </c>
      <c r="H89" s="958">
        <v>2.8301608579088473</v>
      </c>
      <c r="I89" s="65"/>
      <c r="J89" s="919"/>
      <c r="K89" s="919"/>
      <c r="L89" s="919"/>
      <c r="X89" s="924"/>
      <c r="Y89" s="921"/>
      <c r="Z89" s="1"/>
      <c r="AA89" s="919"/>
      <c r="AB89" s="925"/>
      <c r="AC89" s="925"/>
      <c r="AE89" s="927"/>
      <c r="AF89" s="921"/>
      <c r="AG89" s="1"/>
      <c r="AH89" s="918"/>
      <c r="AI89" s="925"/>
      <c r="AJ89" s="925"/>
    </row>
    <row r="90" spans="1:36" ht="15.6" x14ac:dyDescent="0.3">
      <c r="A90" t="s">
        <v>213</v>
      </c>
      <c r="B90" s="959" t="s">
        <v>246</v>
      </c>
      <c r="C90">
        <v>0.35370000000000001</v>
      </c>
      <c r="D90">
        <v>0.3523</v>
      </c>
      <c r="E90" s="135">
        <v>0.35299999999999998</v>
      </c>
      <c r="F90" s="135">
        <v>0.25414999999999999</v>
      </c>
      <c r="G90" s="135">
        <v>0.54738243777238471</v>
      </c>
      <c r="H90" s="958">
        <v>5.4738243777238473</v>
      </c>
      <c r="I90" s="65"/>
      <c r="J90" s="919"/>
      <c r="K90" s="919"/>
      <c r="L90" s="919"/>
      <c r="X90" s="922"/>
      <c r="Y90" s="921"/>
      <c r="Z90" s="1"/>
      <c r="AA90" s="918"/>
      <c r="AB90" s="64"/>
      <c r="AC90" s="923"/>
      <c r="AE90" s="934"/>
      <c r="AF90" s="921"/>
      <c r="AG90" s="1"/>
      <c r="AH90" s="918"/>
      <c r="AI90" s="64"/>
      <c r="AJ90" s="923"/>
    </row>
    <row r="91" spans="1:36" ht="15.6" x14ac:dyDescent="0.3">
      <c r="A91" t="s">
        <v>212</v>
      </c>
      <c r="B91" s="960" t="s">
        <v>247</v>
      </c>
      <c r="C91">
        <v>0.29399999999999998</v>
      </c>
      <c r="D91">
        <v>0.2984</v>
      </c>
      <c r="E91" s="135">
        <v>0.29620000000000002</v>
      </c>
      <c r="F91" s="135">
        <v>0.19735000000000003</v>
      </c>
      <c r="G91" s="135">
        <v>0.41985794696517292</v>
      </c>
      <c r="H91" s="958">
        <v>4.1985794696517296</v>
      </c>
      <c r="I91" s="65"/>
      <c r="J91" s="919"/>
      <c r="K91" s="919"/>
      <c r="L91" s="919"/>
      <c r="X91" s="927"/>
      <c r="Y91" s="926"/>
      <c r="Z91" s="1"/>
      <c r="AA91" s="918"/>
      <c r="AB91" s="925"/>
      <c r="AC91" s="925"/>
      <c r="AE91" s="927"/>
      <c r="AF91" s="926"/>
      <c r="AG91" s="1"/>
      <c r="AH91" s="918"/>
      <c r="AI91" s="925"/>
      <c r="AJ91" s="925"/>
    </row>
    <row r="92" spans="1:36" ht="15.6" x14ac:dyDescent="0.3">
      <c r="A92" t="s">
        <v>213</v>
      </c>
      <c r="B92" s="961" t="s">
        <v>248</v>
      </c>
      <c r="C92">
        <v>0.23080000000000001</v>
      </c>
      <c r="D92">
        <v>0.2311</v>
      </c>
      <c r="E92" s="135">
        <v>0.23094999999999999</v>
      </c>
      <c r="F92" s="135">
        <v>0.1321</v>
      </c>
      <c r="G92" s="135">
        <v>0.27336194300090211</v>
      </c>
      <c r="H92" s="958">
        <v>2.7336194300090213</v>
      </c>
      <c r="I92" s="65"/>
      <c r="J92" s="919"/>
      <c r="K92" s="919"/>
      <c r="L92" s="919"/>
      <c r="Y92" s="1"/>
      <c r="Z92" s="928"/>
      <c r="AA92" s="190"/>
      <c r="AB92" s="923"/>
      <c r="AC92" s="129"/>
      <c r="AE92" s="934"/>
      <c r="AF92" s="921"/>
      <c r="AG92" s="1"/>
      <c r="AH92" s="918"/>
      <c r="AI92" s="64"/>
      <c r="AJ92" s="129"/>
    </row>
    <row r="93" spans="1:36" ht="15.6" x14ac:dyDescent="0.3">
      <c r="A93" t="s">
        <v>213</v>
      </c>
      <c r="B93" s="961">
        <v>96</v>
      </c>
      <c r="C93">
        <v>0.25130000000000002</v>
      </c>
      <c r="D93">
        <v>0.22770000000000001</v>
      </c>
      <c r="E93" s="135">
        <v>0.23950000000000002</v>
      </c>
      <c r="F93" s="135">
        <v>0.14065000000000003</v>
      </c>
      <c r="G93" s="135">
        <v>0.29255797110656523</v>
      </c>
      <c r="H93" s="958">
        <v>2.9255797110656525</v>
      </c>
      <c r="I93" s="65"/>
      <c r="J93" s="919"/>
      <c r="K93" s="919"/>
      <c r="L93" s="919"/>
      <c r="Y93" s="1"/>
      <c r="Z93" s="928"/>
      <c r="AA93" s="190"/>
      <c r="AB93" s="129"/>
      <c r="AC93" s="129"/>
      <c r="AF93" s="921"/>
      <c r="AG93" s="1"/>
      <c r="AH93" s="918"/>
      <c r="AI93" s="129"/>
      <c r="AJ93" s="129"/>
    </row>
    <row r="94" spans="1:36" ht="15.6" x14ac:dyDescent="0.3">
      <c r="A94" t="s">
        <v>212</v>
      </c>
      <c r="B94" s="961" t="s">
        <v>249</v>
      </c>
      <c r="C94">
        <v>0.27650000000000002</v>
      </c>
      <c r="D94">
        <v>0.27829999999999999</v>
      </c>
      <c r="E94" s="135">
        <v>0.27739999999999998</v>
      </c>
      <c r="F94" s="135">
        <v>0.17854999999999999</v>
      </c>
      <c r="G94" s="135">
        <v>0.37764913662757449</v>
      </c>
      <c r="H94" s="958">
        <v>3.7764913662757449</v>
      </c>
      <c r="I94" s="65"/>
      <c r="J94" s="919"/>
      <c r="K94" s="919"/>
      <c r="L94" s="919"/>
      <c r="Y94" s="1"/>
      <c r="Z94" s="928"/>
      <c r="AA94" s="190"/>
      <c r="AB94" s="923"/>
      <c r="AC94" s="923"/>
      <c r="AF94" s="926"/>
      <c r="AG94" s="1"/>
      <c r="AH94" s="918"/>
      <c r="AI94" s="64"/>
      <c r="AJ94" s="923"/>
    </row>
    <row r="95" spans="1:36" ht="13.8" x14ac:dyDescent="0.25">
      <c r="A95" t="s">
        <v>213</v>
      </c>
      <c r="B95" s="957" t="s">
        <v>259</v>
      </c>
      <c r="C95">
        <v>0.33139999999999997</v>
      </c>
      <c r="D95">
        <v>0.33450000000000002</v>
      </c>
      <c r="E95" s="135">
        <v>0.33294999999999997</v>
      </c>
      <c r="F95" s="135">
        <v>0.23409999999999997</v>
      </c>
      <c r="G95" s="135">
        <v>0.50236719057723334</v>
      </c>
      <c r="H95" s="958">
        <v>5.0236719057723338</v>
      </c>
      <c r="I95" s="65"/>
      <c r="J95" s="919"/>
      <c r="K95" s="919"/>
      <c r="L95" s="919"/>
      <c r="Y95" s="1"/>
      <c r="Z95" s="928"/>
      <c r="AA95" s="190"/>
      <c r="AB95" s="129"/>
      <c r="AC95" s="129"/>
      <c r="AF95" s="1"/>
      <c r="AG95" s="1"/>
      <c r="AH95" s="918"/>
      <c r="AI95" s="129"/>
      <c r="AJ95" s="129"/>
    </row>
    <row r="96" spans="1:36" ht="15.6" x14ac:dyDescent="0.3">
      <c r="A96" t="s">
        <v>213</v>
      </c>
      <c r="B96" s="959" t="s">
        <v>250</v>
      </c>
      <c r="C96">
        <v>0.25890000000000002</v>
      </c>
      <c r="D96">
        <v>0.26169999999999999</v>
      </c>
      <c r="E96" s="135">
        <v>0.26029999999999998</v>
      </c>
      <c r="F96" s="135">
        <v>0.16144999999999998</v>
      </c>
      <c r="G96" s="135">
        <v>0.33925708041624836</v>
      </c>
      <c r="H96" s="958">
        <v>3.3925708041624834</v>
      </c>
      <c r="I96" s="65"/>
      <c r="J96" s="919"/>
      <c r="K96" s="919"/>
      <c r="L96" s="919"/>
      <c r="Y96" s="1"/>
      <c r="Z96" s="928"/>
      <c r="AA96" s="190"/>
      <c r="AB96" s="923"/>
      <c r="AC96" s="129"/>
      <c r="AE96" s="934"/>
      <c r="AF96" s="921"/>
      <c r="AG96" s="1"/>
      <c r="AH96" s="190"/>
      <c r="AI96" s="923"/>
      <c r="AJ96" s="129"/>
    </row>
    <row r="97" spans="1:36" ht="15.6" x14ac:dyDescent="0.3">
      <c r="A97" t="s">
        <v>213</v>
      </c>
      <c r="B97" s="961" t="s">
        <v>251</v>
      </c>
      <c r="C97">
        <v>0.34760000000000002</v>
      </c>
      <c r="D97">
        <v>0.35049999999999998</v>
      </c>
      <c r="E97" s="135">
        <v>0.34904999999999997</v>
      </c>
      <c r="F97" s="135">
        <v>0.25019999999999998</v>
      </c>
      <c r="G97" s="135">
        <v>0.53851409730251698</v>
      </c>
      <c r="H97" s="958">
        <v>5.3851409730251696</v>
      </c>
      <c r="I97" s="65"/>
      <c r="J97" s="919"/>
      <c r="K97" s="919"/>
      <c r="L97" s="919"/>
      <c r="Y97" s="1"/>
      <c r="Z97" s="5"/>
      <c r="AA97" s="5"/>
      <c r="AB97" s="65"/>
      <c r="AC97" s="65"/>
      <c r="AF97" s="921"/>
      <c r="AG97" s="1"/>
      <c r="AH97" s="190"/>
      <c r="AI97" s="129"/>
      <c r="AJ97" s="129"/>
    </row>
    <row r="98" spans="1:36" ht="15.6" x14ac:dyDescent="0.3">
      <c r="A98" t="s">
        <v>213</v>
      </c>
      <c r="B98" s="961">
        <v>36</v>
      </c>
      <c r="C98">
        <v>0.2283</v>
      </c>
      <c r="D98">
        <v>0.21560000000000001</v>
      </c>
      <c r="E98" s="135">
        <v>0.22195000000000001</v>
      </c>
      <c r="F98" s="135">
        <v>0.12310000000000001</v>
      </c>
      <c r="G98" s="135">
        <v>0.25315559762651996</v>
      </c>
      <c r="H98" s="958">
        <v>2.5315559762651993</v>
      </c>
      <c r="I98" s="65"/>
      <c r="J98" s="919"/>
      <c r="K98" s="919"/>
      <c r="L98" s="919"/>
      <c r="Y98" s="1"/>
      <c r="Z98" s="929"/>
      <c r="AA98" s="930"/>
      <c r="AB98" s="931"/>
      <c r="AC98" s="931"/>
      <c r="AF98" s="926"/>
      <c r="AG98" s="1"/>
      <c r="AH98" s="190"/>
      <c r="AI98" s="925"/>
      <c r="AJ98" s="923"/>
    </row>
    <row r="99" spans="1:36" ht="13.8" x14ac:dyDescent="0.25">
      <c r="A99" t="s">
        <v>213</v>
      </c>
      <c r="B99" s="947">
        <v>43</v>
      </c>
      <c r="C99">
        <v>0.157</v>
      </c>
      <c r="D99">
        <v>0.16270000000000001</v>
      </c>
      <c r="E99" s="135">
        <v>0.15984999999999999</v>
      </c>
      <c r="F99" s="135">
        <v>6.0999999999999999E-2</v>
      </c>
      <c r="G99" s="135">
        <v>0.11373181454328295</v>
      </c>
      <c r="H99" s="958">
        <v>1.1373181454328294</v>
      </c>
      <c r="J99" s="919"/>
      <c r="K99" s="919"/>
      <c r="L99" s="919"/>
      <c r="Y99" s="1"/>
      <c r="Z99" s="51"/>
      <c r="AA99" s="932"/>
      <c r="AB99" s="164"/>
      <c r="AC99" s="164"/>
      <c r="AF99" s="1"/>
      <c r="AG99" s="1"/>
      <c r="AH99" s="190"/>
      <c r="AI99" s="129"/>
      <c r="AJ99" s="129"/>
    </row>
    <row r="100" spans="1:36" ht="15.6" x14ac:dyDescent="0.3">
      <c r="A100" t="s">
        <v>212</v>
      </c>
      <c r="B100" s="947">
        <v>157</v>
      </c>
      <c r="C100">
        <v>0.86829999999999996</v>
      </c>
      <c r="D100">
        <v>0.82850000000000001</v>
      </c>
      <c r="E100" s="135">
        <v>0.84840000000000004</v>
      </c>
      <c r="F100" s="135">
        <v>0.74955000000000005</v>
      </c>
      <c r="G100" s="135">
        <v>1.6596294931578213</v>
      </c>
      <c r="H100" s="958">
        <v>16.596294931578214</v>
      </c>
      <c r="J100" s="919"/>
      <c r="K100" s="919"/>
      <c r="L100" s="919"/>
      <c r="Y100" s="1"/>
      <c r="Z100" s="992"/>
      <c r="AA100" s="932"/>
      <c r="AB100" s="933"/>
      <c r="AC100" s="164"/>
      <c r="AE100" s="934"/>
      <c r="AF100" s="921"/>
      <c r="AG100" s="1"/>
      <c r="AH100" s="190"/>
      <c r="AI100" s="923"/>
      <c r="AJ100" s="129"/>
    </row>
    <row r="101" spans="1:36" ht="15.6" x14ac:dyDescent="0.3">
      <c r="A101" t="s">
        <v>213</v>
      </c>
      <c r="B101" s="947">
        <v>160</v>
      </c>
      <c r="C101">
        <v>0.85060000000000002</v>
      </c>
      <c r="D101">
        <v>0.80449999999999999</v>
      </c>
      <c r="E101" s="135">
        <v>0.82755000000000001</v>
      </c>
      <c r="F101" s="135">
        <v>0.72870000000000001</v>
      </c>
      <c r="G101" s="135">
        <v>1.6128181263738359</v>
      </c>
      <c r="H101" s="958">
        <v>16.128181263738359</v>
      </c>
      <c r="J101" s="919"/>
      <c r="K101" s="919"/>
      <c r="L101" s="919"/>
      <c r="Y101" s="1"/>
      <c r="Z101" s="51"/>
      <c r="AA101" s="932"/>
      <c r="AB101" s="164"/>
      <c r="AC101" s="164"/>
      <c r="AF101" s="921"/>
      <c r="AG101" s="1"/>
      <c r="AH101" s="190"/>
      <c r="AI101" s="129"/>
      <c r="AJ101" s="129"/>
    </row>
    <row r="102" spans="1:36" ht="15.6" x14ac:dyDescent="0.3">
      <c r="A102" t="s">
        <v>212</v>
      </c>
      <c r="B102" s="962">
        <v>159</v>
      </c>
      <c r="C102">
        <v>0.58750000000000002</v>
      </c>
      <c r="D102">
        <v>0.62849999999999995</v>
      </c>
      <c r="E102" s="135">
        <v>0.60799999999999998</v>
      </c>
      <c r="F102" s="135">
        <v>0.50914999999999999</v>
      </c>
      <c r="G102" s="135">
        <v>1.1198955567132129</v>
      </c>
      <c r="H102" s="958">
        <v>11.198955567132129</v>
      </c>
      <c r="J102" s="919"/>
      <c r="K102" s="919"/>
      <c r="L102" s="919"/>
      <c r="Y102" s="1"/>
      <c r="Z102" s="51"/>
      <c r="AA102" s="932"/>
      <c r="AB102" s="933"/>
      <c r="AC102" s="933"/>
      <c r="AF102" s="926"/>
      <c r="AG102" s="1"/>
      <c r="AH102" s="190"/>
      <c r="AI102" s="925"/>
      <c r="AJ102" s="923"/>
    </row>
    <row r="103" spans="1:36" ht="13.8" x14ac:dyDescent="0.25">
      <c r="A103" t="s">
        <v>212</v>
      </c>
      <c r="B103" s="962">
        <v>29</v>
      </c>
      <c r="C103">
        <v>0.1847</v>
      </c>
      <c r="D103">
        <v>0.1961</v>
      </c>
      <c r="E103" s="135">
        <v>0.19040000000000001</v>
      </c>
      <c r="F103" s="135">
        <v>9.155000000000002E-2</v>
      </c>
      <c r="G103" s="135">
        <v>0.18232113134188024</v>
      </c>
      <c r="H103" s="958">
        <v>1.8232113134188024</v>
      </c>
      <c r="J103" s="919"/>
      <c r="K103" s="919"/>
      <c r="L103" s="919"/>
      <c r="Y103" s="1"/>
      <c r="Z103" s="933"/>
      <c r="AA103" s="932"/>
      <c r="AB103" s="164"/>
      <c r="AC103" s="164"/>
      <c r="AF103" s="1"/>
      <c r="AG103" s="1"/>
      <c r="AH103" s="190"/>
      <c r="AI103" s="129"/>
      <c r="AJ103" s="129"/>
    </row>
    <row r="104" spans="1:36" ht="13.8" x14ac:dyDescent="0.25">
      <c r="A104" t="s">
        <v>212</v>
      </c>
      <c r="B104" s="962">
        <v>35</v>
      </c>
      <c r="C104">
        <v>0.17649999999999999</v>
      </c>
      <c r="D104">
        <v>0.191</v>
      </c>
      <c r="E104" s="135">
        <v>0.18375</v>
      </c>
      <c r="F104" s="135">
        <v>8.4900000000000003E-2</v>
      </c>
      <c r="G104" s="135">
        <v>0.16739088725969783</v>
      </c>
      <c r="H104" s="958">
        <v>1.6739088725969784</v>
      </c>
      <c r="J104" s="919"/>
      <c r="K104" s="919"/>
      <c r="L104" s="919"/>
      <c r="Y104" s="1"/>
      <c r="Z104" s="51"/>
      <c r="AA104" s="932"/>
      <c r="AB104" s="164"/>
      <c r="AC104" s="164"/>
      <c r="AF104" s="1"/>
      <c r="AG104" s="928"/>
      <c r="AH104" s="190"/>
      <c r="AI104" s="129"/>
      <c r="AJ104" s="129"/>
    </row>
    <row r="105" spans="1:36" ht="13.8" x14ac:dyDescent="0.25">
      <c r="A105" t="s">
        <v>212</v>
      </c>
      <c r="B105" s="962">
        <v>33</v>
      </c>
      <c r="C105">
        <v>0.17829999999999999</v>
      </c>
      <c r="D105">
        <v>0.1865</v>
      </c>
      <c r="E105" s="135">
        <v>0.18240000000000001</v>
      </c>
      <c r="F105" s="135">
        <v>8.3550000000000013E-2</v>
      </c>
      <c r="G105" s="135">
        <v>0.16435993545354052</v>
      </c>
      <c r="H105" s="958">
        <v>1.6435993545354053</v>
      </c>
      <c r="J105" s="919"/>
      <c r="K105" s="919"/>
      <c r="L105" s="919"/>
      <c r="Y105" s="1"/>
      <c r="Z105" s="51"/>
      <c r="AA105" s="932"/>
      <c r="AB105" s="164"/>
      <c r="AC105" s="164"/>
      <c r="AF105" s="1"/>
      <c r="AG105" s="928"/>
      <c r="AH105" s="190"/>
      <c r="AI105" s="129"/>
      <c r="AJ105" s="129"/>
    </row>
    <row r="106" spans="1:36" ht="13.8" x14ac:dyDescent="0.25">
      <c r="A106" t="s">
        <v>212</v>
      </c>
      <c r="B106" s="962">
        <v>31</v>
      </c>
      <c r="C106">
        <v>0.15340000000000001</v>
      </c>
      <c r="D106">
        <v>0.16109999999999999</v>
      </c>
      <c r="E106" s="135">
        <v>0.15725</v>
      </c>
      <c r="F106" s="135">
        <v>5.8400000000000007E-2</v>
      </c>
      <c r="G106" s="135">
        <v>0.10789442587957256</v>
      </c>
      <c r="H106" s="958">
        <v>1.0789442587957256</v>
      </c>
      <c r="I106" s="55"/>
      <c r="J106" s="919"/>
      <c r="K106" s="919"/>
      <c r="L106" s="919"/>
      <c r="Y106" s="1"/>
      <c r="Z106" s="933"/>
      <c r="AA106" s="932"/>
      <c r="AB106" s="164"/>
      <c r="AC106" s="164"/>
      <c r="AF106" s="1"/>
      <c r="AG106" s="928"/>
      <c r="AH106" s="190"/>
      <c r="AI106" s="129"/>
      <c r="AJ106" s="129"/>
    </row>
    <row r="107" spans="1:36" ht="13.8" x14ac:dyDescent="0.25">
      <c r="A107" t="s">
        <v>213</v>
      </c>
      <c r="B107" s="962">
        <v>34</v>
      </c>
      <c r="C107">
        <v>0.16450000000000001</v>
      </c>
      <c r="D107">
        <v>0.17760000000000001</v>
      </c>
      <c r="E107" s="135">
        <v>0.17105000000000001</v>
      </c>
      <c r="F107" s="135">
        <v>7.2200000000000014E-2</v>
      </c>
      <c r="G107" s="135">
        <v>0.13887748878695858</v>
      </c>
      <c r="H107" s="958">
        <v>1.3887748878695858</v>
      </c>
      <c r="J107" s="919"/>
      <c r="K107" s="919"/>
      <c r="L107" s="919"/>
      <c r="Y107" s="1"/>
      <c r="Z107" s="51"/>
      <c r="AA107" s="932"/>
      <c r="AB107" s="164"/>
      <c r="AC107" s="164"/>
      <c r="AF107" s="1"/>
      <c r="AG107" s="928"/>
      <c r="AH107" s="190"/>
      <c r="AI107" s="129"/>
      <c r="AJ107" s="129"/>
    </row>
    <row r="108" spans="1:36" ht="13.8" x14ac:dyDescent="0.25">
      <c r="A108" t="s">
        <v>213</v>
      </c>
      <c r="B108" s="963">
        <v>40</v>
      </c>
      <c r="C108">
        <v>0.1709</v>
      </c>
      <c r="D108">
        <v>0.18479999999999999</v>
      </c>
      <c r="E108" s="135">
        <v>0.17785000000000001</v>
      </c>
      <c r="F108" s="135">
        <v>7.9000000000000015E-2</v>
      </c>
      <c r="G108" s="135">
        <v>0.15414450529204732</v>
      </c>
      <c r="H108" s="958">
        <v>1.5414450529204733</v>
      </c>
      <c r="J108" s="919"/>
      <c r="K108" s="919"/>
      <c r="L108" s="919"/>
      <c r="Y108" s="1"/>
      <c r="Z108" s="51"/>
      <c r="AA108" s="932"/>
      <c r="AB108" s="164"/>
      <c r="AC108" s="164"/>
      <c r="AF108" s="1"/>
      <c r="AG108" s="928"/>
      <c r="AH108" s="190"/>
      <c r="AI108" s="129"/>
      <c r="AJ108" s="129"/>
    </row>
    <row r="109" spans="1:36" ht="13.8" x14ac:dyDescent="0.25">
      <c r="A109" t="s">
        <v>212</v>
      </c>
      <c r="B109" s="963">
        <v>153</v>
      </c>
      <c r="C109">
        <v>0.56499999999999995</v>
      </c>
      <c r="D109">
        <v>0.62619999999999998</v>
      </c>
      <c r="E109" s="135">
        <v>0.59559999999999991</v>
      </c>
      <c r="F109" s="135">
        <v>0.49674999999999991</v>
      </c>
      <c r="G109" s="135">
        <v>1.0920557030862863</v>
      </c>
      <c r="H109" s="958">
        <v>10.920557030862863</v>
      </c>
      <c r="J109" s="919"/>
      <c r="K109" s="919"/>
      <c r="L109" s="919"/>
      <c r="Y109" s="1"/>
      <c r="Z109" s="51"/>
      <c r="AA109" s="932"/>
      <c r="AB109" s="164"/>
      <c r="AC109" s="164"/>
      <c r="AF109" s="1"/>
      <c r="AG109" s="928"/>
      <c r="AH109" s="190"/>
      <c r="AI109" s="129"/>
      <c r="AJ109" s="129"/>
    </row>
    <row r="110" spans="1:36" ht="15.6" x14ac:dyDescent="0.3">
      <c r="A110" t="s">
        <v>213</v>
      </c>
      <c r="B110" s="963">
        <v>158</v>
      </c>
      <c r="C110">
        <v>0.61380000000000001</v>
      </c>
      <c r="D110">
        <v>0.66930000000000001</v>
      </c>
      <c r="E110" s="135">
        <v>0.64155000000000006</v>
      </c>
      <c r="F110" s="135">
        <v>0.54270000000000007</v>
      </c>
      <c r="G110" s="135">
        <v>1.1952203219699378</v>
      </c>
      <c r="H110" s="958">
        <v>11.952203219699378</v>
      </c>
      <c r="J110" s="919"/>
      <c r="K110" s="919"/>
      <c r="L110" s="919"/>
      <c r="X110" s="934"/>
      <c r="Y110" s="926"/>
      <c r="Z110" s="928"/>
      <c r="AA110" s="920"/>
      <c r="AB110" s="923"/>
      <c r="AC110" s="923"/>
      <c r="AE110" s="934"/>
      <c r="AF110" s="926"/>
      <c r="AG110" s="5"/>
      <c r="AH110" s="5"/>
      <c r="AI110" s="935"/>
      <c r="AJ110" s="935"/>
    </row>
    <row r="111" spans="1:36" ht="15.6" x14ac:dyDescent="0.3">
      <c r="A111" t="s">
        <v>213</v>
      </c>
      <c r="B111" s="963">
        <v>156</v>
      </c>
      <c r="C111">
        <v>0.55810000000000004</v>
      </c>
      <c r="D111">
        <v>0.63949999999999996</v>
      </c>
      <c r="E111" s="135">
        <v>0.5988</v>
      </c>
      <c r="F111" s="135">
        <v>0.49995000000000001</v>
      </c>
      <c r="G111" s="135">
        <v>1.0992401814416224</v>
      </c>
      <c r="H111" s="958">
        <v>10.992401814416224</v>
      </c>
      <c r="J111" s="919"/>
      <c r="K111" s="919"/>
      <c r="L111" s="919"/>
      <c r="AE111" s="927"/>
      <c r="AF111" s="914"/>
      <c r="AG111" s="929"/>
      <c r="AH111" s="936"/>
      <c r="AI111" s="931"/>
      <c r="AJ111" s="931"/>
    </row>
    <row r="112" spans="1:36" ht="15.6" x14ac:dyDescent="0.25">
      <c r="B112" s="963"/>
      <c r="E112" s="135"/>
      <c r="F112" s="135"/>
      <c r="G112" s="135"/>
      <c r="H112" s="958"/>
      <c r="J112" s="919"/>
      <c r="K112" s="919"/>
      <c r="L112" s="919"/>
      <c r="AE112" s="934"/>
      <c r="AF112" s="926"/>
      <c r="AG112" s="51"/>
      <c r="AH112" s="932"/>
      <c r="AI112" s="933"/>
      <c r="AJ112" s="933"/>
    </row>
    <row r="113" spans="1:36" ht="15.6" x14ac:dyDescent="0.3">
      <c r="AE113" s="50"/>
      <c r="AF113" s="914"/>
      <c r="AG113" s="51"/>
      <c r="AH113" s="937"/>
      <c r="AI113" s="933"/>
      <c r="AJ113" s="933"/>
    </row>
    <row r="114" spans="1:36" ht="15.6" x14ac:dyDescent="0.25">
      <c r="A114" t="s">
        <v>252</v>
      </c>
      <c r="AE114" s="934"/>
      <c r="AF114" s="926"/>
      <c r="AG114" s="51"/>
      <c r="AH114" s="937"/>
      <c r="AI114" s="933"/>
      <c r="AJ114" s="933"/>
    </row>
    <row r="115" spans="1:36" ht="15.6" x14ac:dyDescent="0.3">
      <c r="B115" s="917" t="s">
        <v>239</v>
      </c>
      <c r="C115" s="168"/>
      <c r="AE115" s="927"/>
      <c r="AF115" s="926"/>
      <c r="AG115" s="51"/>
      <c r="AH115" s="937"/>
      <c r="AI115" s="933"/>
      <c r="AJ115" s="933"/>
    </row>
    <row r="116" spans="1:36" ht="15.6" x14ac:dyDescent="0.25">
      <c r="B116" s="917"/>
      <c r="C116" s="168"/>
      <c r="AE116" s="934"/>
      <c r="AF116" s="926"/>
      <c r="AG116" s="51"/>
      <c r="AH116" s="937"/>
      <c r="AI116" s="933"/>
      <c r="AJ116" s="933"/>
    </row>
    <row r="117" spans="1:36" ht="15.6" x14ac:dyDescent="0.3">
      <c r="B117" s="65"/>
      <c r="C117" s="168"/>
      <c r="AE117" s="927"/>
      <c r="AF117" s="926"/>
      <c r="AG117" s="933"/>
      <c r="AH117" s="932"/>
      <c r="AI117" s="933"/>
      <c r="AJ117" s="933"/>
    </row>
    <row r="118" spans="1:36" ht="15.6" x14ac:dyDescent="0.25">
      <c r="B118" s="917" t="s">
        <v>240</v>
      </c>
      <c r="C118" s="168"/>
      <c r="AE118" s="934"/>
      <c r="AF118" s="926"/>
      <c r="AG118" s="933"/>
      <c r="AH118" s="932"/>
      <c r="AI118" s="933"/>
      <c r="AJ118" s="933"/>
    </row>
    <row r="119" spans="1:36" ht="15.6" x14ac:dyDescent="0.3">
      <c r="B119" s="917" t="s">
        <v>241</v>
      </c>
      <c r="C119" s="168"/>
      <c r="AE119" s="927"/>
      <c r="AF119" s="926"/>
      <c r="AG119" s="51"/>
      <c r="AH119" s="932"/>
      <c r="AI119" s="933"/>
      <c r="AJ119" s="933"/>
    </row>
    <row r="120" spans="1:36" ht="15.6" x14ac:dyDescent="0.25">
      <c r="B120" s="282" t="s">
        <v>242</v>
      </c>
      <c r="C120" s="168"/>
      <c r="AE120" s="934"/>
      <c r="AF120" s="926"/>
      <c r="AG120" s="51"/>
      <c r="AH120" s="932"/>
      <c r="AI120" s="933"/>
      <c r="AJ120" s="933"/>
    </row>
    <row r="121" spans="1:36" ht="15.6" x14ac:dyDescent="0.3">
      <c r="C121" s="262"/>
      <c r="AE121" s="927"/>
      <c r="AF121" s="926"/>
      <c r="AG121" s="51"/>
      <c r="AH121" s="932"/>
      <c r="AI121" s="933"/>
      <c r="AJ121" s="933"/>
    </row>
    <row r="122" spans="1:36" ht="15.6" x14ac:dyDescent="0.25">
      <c r="C122" s="262"/>
      <c r="AE122" s="934"/>
      <c r="AF122" s="926"/>
      <c r="AG122" s="51"/>
      <c r="AH122" s="932"/>
      <c r="AI122" s="933"/>
      <c r="AJ122" s="933"/>
    </row>
    <row r="123" spans="1:36" ht="15.6" x14ac:dyDescent="0.3">
      <c r="B123" t="s">
        <v>260</v>
      </c>
      <c r="C123" s="262"/>
      <c r="AE123" s="927"/>
      <c r="AF123" s="926"/>
      <c r="AG123" s="51"/>
      <c r="AH123" s="932"/>
      <c r="AI123" s="933"/>
      <c r="AJ123" s="933"/>
    </row>
    <row r="124" spans="1:36" ht="15.6" x14ac:dyDescent="0.25">
      <c r="C124" s="262"/>
      <c r="AE124" s="934"/>
      <c r="AF124" s="926"/>
      <c r="AG124" s="51"/>
      <c r="AH124" s="932"/>
      <c r="AI124" s="933"/>
      <c r="AJ124" s="933"/>
    </row>
    <row r="125" spans="1:36" ht="15.6" x14ac:dyDescent="0.3">
      <c r="C125" s="978" t="s">
        <v>261</v>
      </c>
      <c r="D125" s="1010" t="s">
        <v>36</v>
      </c>
      <c r="E125" s="1010"/>
      <c r="F125" s="1010"/>
      <c r="G125" s="1010"/>
      <c r="AE125" s="927"/>
      <c r="AF125" s="926"/>
      <c r="AG125" s="51"/>
      <c r="AH125" s="932"/>
      <c r="AI125" s="933"/>
      <c r="AJ125" s="933"/>
    </row>
    <row r="126" spans="1:36" x14ac:dyDescent="0.25">
      <c r="C126" s="976">
        <v>50000</v>
      </c>
      <c r="D126" s="977">
        <v>10091.5</v>
      </c>
      <c r="E126" s="977">
        <v>10427</v>
      </c>
      <c r="F126" s="977">
        <v>10334.5</v>
      </c>
      <c r="G126" s="977">
        <v>10336.5</v>
      </c>
    </row>
    <row r="127" spans="1:36" x14ac:dyDescent="0.25">
      <c r="C127" s="976">
        <v>12500</v>
      </c>
      <c r="D127" s="977">
        <v>6086.5</v>
      </c>
      <c r="E127" s="977">
        <v>6434</v>
      </c>
      <c r="F127" s="977">
        <v>6640</v>
      </c>
      <c r="G127" s="977">
        <v>6612</v>
      </c>
    </row>
    <row r="128" spans="1:36" x14ac:dyDescent="0.25">
      <c r="C128" s="976">
        <v>3125</v>
      </c>
      <c r="D128" s="977">
        <v>1253.5</v>
      </c>
      <c r="E128" s="977">
        <v>1156</v>
      </c>
      <c r="F128" s="977">
        <v>1002</v>
      </c>
      <c r="G128" s="977">
        <v>996</v>
      </c>
    </row>
    <row r="129" spans="2:17" x14ac:dyDescent="0.25">
      <c r="C129" s="976">
        <v>781.25</v>
      </c>
      <c r="D129" s="977">
        <v>267.5</v>
      </c>
      <c r="E129" s="977">
        <v>140.5</v>
      </c>
      <c r="F129" s="977">
        <v>298.5</v>
      </c>
      <c r="G129" s="977">
        <v>263</v>
      </c>
    </row>
    <row r="130" spans="2:17" x14ac:dyDescent="0.25">
      <c r="C130" s="976">
        <v>195.31</v>
      </c>
      <c r="D130" s="977">
        <v>115.5</v>
      </c>
      <c r="E130" s="977">
        <v>98.5</v>
      </c>
      <c r="F130" s="977">
        <v>125</v>
      </c>
      <c r="G130" s="977">
        <v>130</v>
      </c>
    </row>
    <row r="131" spans="2:17" x14ac:dyDescent="0.25">
      <c r="C131" s="976">
        <v>48.83</v>
      </c>
      <c r="D131" s="977">
        <v>58</v>
      </c>
      <c r="E131" s="977">
        <v>58.5</v>
      </c>
      <c r="F131" s="977">
        <v>86</v>
      </c>
      <c r="G131" s="977">
        <v>88</v>
      </c>
    </row>
    <row r="132" spans="2:17" x14ac:dyDescent="0.25">
      <c r="C132" s="976">
        <v>12.21</v>
      </c>
      <c r="D132" s="977">
        <v>48</v>
      </c>
      <c r="E132" s="977">
        <v>49.5</v>
      </c>
      <c r="F132" s="977">
        <v>51</v>
      </c>
      <c r="G132" s="977">
        <v>58</v>
      </c>
    </row>
    <row r="133" spans="2:17" x14ac:dyDescent="0.25">
      <c r="C133" s="976">
        <v>0</v>
      </c>
      <c r="D133" s="977">
        <v>46.5</v>
      </c>
      <c r="E133" s="977">
        <v>45</v>
      </c>
      <c r="F133" s="977">
        <v>43</v>
      </c>
      <c r="G133" s="977">
        <v>39</v>
      </c>
    </row>
    <row r="134" spans="2:17" x14ac:dyDescent="0.25">
      <c r="C134" s="262"/>
    </row>
    <row r="135" spans="2:17" x14ac:dyDescent="0.25">
      <c r="C135" s="262"/>
      <c r="D135" s="911" t="s">
        <v>262</v>
      </c>
      <c r="E135" s="911" t="s">
        <v>36</v>
      </c>
      <c r="F135" s="911" t="s">
        <v>36</v>
      </c>
      <c r="G135" s="988" t="s">
        <v>263</v>
      </c>
      <c r="H135" s="911"/>
      <c r="I135" s="913"/>
      <c r="J135" s="911" t="s">
        <v>264</v>
      </c>
      <c r="L135" s="986" t="s">
        <v>265</v>
      </c>
      <c r="M135" s="986" t="s">
        <v>264</v>
      </c>
      <c r="N135" s="987" t="s">
        <v>266</v>
      </c>
      <c r="O135" s="987" t="s">
        <v>264</v>
      </c>
      <c r="Q135" s="975" t="s">
        <v>267</v>
      </c>
    </row>
    <row r="136" spans="2:17" x14ac:dyDescent="0.25">
      <c r="B136" s="21" t="s">
        <v>212</v>
      </c>
      <c r="C136" s="979" t="s">
        <v>243</v>
      </c>
      <c r="D136" s="915">
        <v>3.6473952708283037</v>
      </c>
      <c r="E136" s="977">
        <v>53</v>
      </c>
      <c r="F136" s="977">
        <v>54</v>
      </c>
      <c r="G136" s="21">
        <v>13.0980395113278</v>
      </c>
      <c r="H136" s="21"/>
      <c r="I136" s="21"/>
      <c r="J136" s="977">
        <v>3.5910666485986056</v>
      </c>
      <c r="K136" s="21"/>
      <c r="L136" s="979" t="s">
        <v>243</v>
      </c>
      <c r="M136" s="977">
        <v>3.5910666485986056</v>
      </c>
      <c r="N136" s="980" t="s">
        <v>246</v>
      </c>
      <c r="O136" s="977">
        <v>6.1164828227821859</v>
      </c>
    </row>
    <row r="137" spans="2:17" x14ac:dyDescent="0.25">
      <c r="B137" s="21" t="s">
        <v>212</v>
      </c>
      <c r="C137" s="981" t="s">
        <v>244</v>
      </c>
      <c r="D137" s="915">
        <v>3.9830451189916518</v>
      </c>
      <c r="E137" s="977">
        <v>744</v>
      </c>
      <c r="F137" s="977">
        <v>748</v>
      </c>
      <c r="G137" s="21">
        <v>2368.9244362418799</v>
      </c>
      <c r="H137" s="21"/>
      <c r="I137" s="21"/>
      <c r="J137" s="977">
        <v>594.75209681822457</v>
      </c>
      <c r="K137" s="21"/>
      <c r="L137" s="981" t="s">
        <v>244</v>
      </c>
      <c r="M137" s="982">
        <v>594.75209681822457</v>
      </c>
      <c r="N137" s="983" t="s">
        <v>248</v>
      </c>
      <c r="O137" s="977">
        <v>7.6087510230163824</v>
      </c>
    </row>
    <row r="138" spans="2:17" x14ac:dyDescent="0.25">
      <c r="B138" s="21" t="s">
        <v>212</v>
      </c>
      <c r="C138" s="981" t="s">
        <v>245</v>
      </c>
      <c r="D138" s="915">
        <v>2.8301608579088473</v>
      </c>
      <c r="E138" s="977">
        <v>36</v>
      </c>
      <c r="F138" s="977">
        <v>32</v>
      </c>
      <c r="G138" s="21"/>
      <c r="H138" s="21"/>
      <c r="I138" s="21"/>
      <c r="J138" s="977">
        <v>0</v>
      </c>
      <c r="K138" s="21"/>
      <c r="L138" s="981" t="s">
        <v>245</v>
      </c>
      <c r="M138" s="977">
        <v>0</v>
      </c>
      <c r="N138" s="983">
        <v>96</v>
      </c>
      <c r="O138" s="977">
        <v>71.606398915223693</v>
      </c>
    </row>
    <row r="139" spans="2:17" x14ac:dyDescent="0.25">
      <c r="B139" s="21" t="s">
        <v>213</v>
      </c>
      <c r="C139" s="980" t="s">
        <v>246</v>
      </c>
      <c r="D139" s="915">
        <v>5.4738243777238473</v>
      </c>
      <c r="E139" s="977">
        <v>65</v>
      </c>
      <c r="F139" s="977">
        <v>64</v>
      </c>
      <c r="G139" s="21">
        <v>33.480552781274298</v>
      </c>
      <c r="H139" s="21"/>
      <c r="I139" s="21"/>
      <c r="J139" s="977">
        <v>6.1164828227821859</v>
      </c>
      <c r="K139" s="21"/>
      <c r="L139" s="983" t="s">
        <v>247</v>
      </c>
      <c r="M139" s="977">
        <v>42.661640619354714</v>
      </c>
      <c r="N139" s="981" t="s">
        <v>259</v>
      </c>
      <c r="O139" s="977">
        <v>535.94016097797999</v>
      </c>
    </row>
    <row r="140" spans="2:17" x14ac:dyDescent="0.25">
      <c r="B140" s="21" t="s">
        <v>212</v>
      </c>
      <c r="C140" s="983" t="s">
        <v>247</v>
      </c>
      <c r="D140" s="915">
        <v>4.1985794696517296</v>
      </c>
      <c r="E140" s="977">
        <v>112</v>
      </c>
      <c r="F140" s="977">
        <v>115</v>
      </c>
      <c r="G140" s="21">
        <v>179.118288446083</v>
      </c>
      <c r="H140" s="21"/>
      <c r="I140" s="21"/>
      <c r="J140" s="977">
        <v>42.661640619354714</v>
      </c>
      <c r="K140" s="21"/>
      <c r="L140" s="979" t="s">
        <v>249</v>
      </c>
      <c r="M140" s="977">
        <v>29.843745514183109</v>
      </c>
      <c r="N140" s="983" t="s">
        <v>250</v>
      </c>
      <c r="O140" s="977">
        <v>164.91184001060705</v>
      </c>
    </row>
    <row r="141" spans="2:17" x14ac:dyDescent="0.25">
      <c r="B141" s="21" t="s">
        <v>213</v>
      </c>
      <c r="C141" s="983" t="s">
        <v>248</v>
      </c>
      <c r="D141" s="915">
        <v>2.7336194300090213</v>
      </c>
      <c r="E141" s="977">
        <v>58</v>
      </c>
      <c r="F141" s="977">
        <v>58</v>
      </c>
      <c r="G141" s="21">
        <v>20.799429634618601</v>
      </c>
      <c r="H141" s="21"/>
      <c r="I141" s="21"/>
      <c r="J141" s="977">
        <v>7.6087510230163824</v>
      </c>
      <c r="K141" s="21"/>
      <c r="L141" s="977">
        <v>157</v>
      </c>
      <c r="M141" s="977">
        <v>0</v>
      </c>
      <c r="N141" s="983" t="s">
        <v>251</v>
      </c>
      <c r="O141" s="977">
        <v>4.3767399696406315</v>
      </c>
    </row>
    <row r="142" spans="2:17" x14ac:dyDescent="0.25">
      <c r="B142" s="21" t="s">
        <v>213</v>
      </c>
      <c r="C142" s="983">
        <v>96</v>
      </c>
      <c r="D142" s="915">
        <v>2.9255797110656525</v>
      </c>
      <c r="E142" s="977">
        <v>128</v>
      </c>
      <c r="F142" s="977">
        <v>114.5</v>
      </c>
      <c r="G142" s="21">
        <v>209.49022784885199</v>
      </c>
      <c r="H142" s="21"/>
      <c r="I142" s="21"/>
      <c r="J142" s="977">
        <v>71.606398915223693</v>
      </c>
      <c r="K142" s="21"/>
      <c r="L142" s="984">
        <v>159</v>
      </c>
      <c r="M142" s="977">
        <v>2.5800911779858295</v>
      </c>
      <c r="N142" s="977">
        <v>36</v>
      </c>
      <c r="O142" s="977">
        <v>57.394714751730206</v>
      </c>
    </row>
    <row r="143" spans="2:17" x14ac:dyDescent="0.25">
      <c r="B143" s="21" t="s">
        <v>212</v>
      </c>
      <c r="C143" s="979" t="s">
        <v>249</v>
      </c>
      <c r="D143" s="915">
        <v>3.7764913662757449</v>
      </c>
      <c r="E143" s="977">
        <v>95</v>
      </c>
      <c r="F143" s="977">
        <v>94</v>
      </c>
      <c r="G143" s="21">
        <v>112.704647271643</v>
      </c>
      <c r="H143" s="21"/>
      <c r="I143" s="21"/>
      <c r="J143" s="977">
        <v>29.843745514183109</v>
      </c>
      <c r="K143" s="21"/>
      <c r="L143" s="984">
        <v>29</v>
      </c>
      <c r="M143" s="977">
        <v>68.030342093721814</v>
      </c>
      <c r="N143" s="977">
        <v>43</v>
      </c>
      <c r="O143" s="977">
        <v>262.61907467620478</v>
      </c>
    </row>
    <row r="144" spans="2:17" x14ac:dyDescent="0.25">
      <c r="B144" s="21" t="s">
        <v>213</v>
      </c>
      <c r="C144" s="981" t="s">
        <v>259</v>
      </c>
      <c r="D144" s="915">
        <v>5.0236719057723338</v>
      </c>
      <c r="E144" s="977">
        <v>888</v>
      </c>
      <c r="F144" s="977">
        <v>892</v>
      </c>
      <c r="G144" s="21">
        <v>2692.38752988018</v>
      </c>
      <c r="H144" s="21"/>
      <c r="I144" s="21"/>
      <c r="J144" s="977">
        <v>535.94016097797999</v>
      </c>
      <c r="K144" s="21"/>
      <c r="L144" s="984">
        <v>35</v>
      </c>
      <c r="M144" s="977">
        <v>135.53842923731543</v>
      </c>
      <c r="N144" s="984">
        <v>160</v>
      </c>
      <c r="O144" s="977">
        <v>138.34458668501648</v>
      </c>
    </row>
    <row r="145" spans="2:18" x14ac:dyDescent="0.25">
      <c r="B145" s="21" t="s">
        <v>213</v>
      </c>
      <c r="C145" s="983" t="s">
        <v>250</v>
      </c>
      <c r="D145" s="915">
        <v>3.3925708041624834</v>
      </c>
      <c r="E145" s="977">
        <v>199</v>
      </c>
      <c r="F145" s="977">
        <v>193</v>
      </c>
      <c r="G145" s="21">
        <v>559.47509368069996</v>
      </c>
      <c r="H145" s="21"/>
      <c r="I145" s="21"/>
      <c r="J145" s="977">
        <v>164.91184001060705</v>
      </c>
      <c r="K145" s="21"/>
      <c r="L145" s="984">
        <v>33</v>
      </c>
      <c r="M145" s="977">
        <v>0</v>
      </c>
      <c r="N145" s="985">
        <v>34</v>
      </c>
      <c r="O145" s="977">
        <v>189.43099899758232</v>
      </c>
    </row>
    <row r="146" spans="2:18" x14ac:dyDescent="0.25">
      <c r="B146" s="21" t="s">
        <v>213</v>
      </c>
      <c r="C146" s="983" t="s">
        <v>251</v>
      </c>
      <c r="D146" s="915">
        <v>5.3851409730251696</v>
      </c>
      <c r="E146" s="977">
        <v>60</v>
      </c>
      <c r="F146" s="977">
        <v>59</v>
      </c>
      <c r="G146" s="21">
        <v>23.5693617387887</v>
      </c>
      <c r="H146" s="21"/>
      <c r="I146" s="21"/>
      <c r="J146" s="977">
        <v>4.3767399696406315</v>
      </c>
      <c r="K146" s="21"/>
      <c r="L146" s="984">
        <v>31</v>
      </c>
      <c r="M146" s="977">
        <v>0</v>
      </c>
      <c r="N146" s="985">
        <v>40</v>
      </c>
      <c r="O146" s="977">
        <v>116.81887371126436</v>
      </c>
    </row>
    <row r="147" spans="2:18" x14ac:dyDescent="0.25">
      <c r="B147" s="21" t="s">
        <v>213</v>
      </c>
      <c r="C147" s="977">
        <v>36</v>
      </c>
      <c r="D147" s="915">
        <v>2.5315559762651993</v>
      </c>
      <c r="E147" s="977">
        <v>101.5</v>
      </c>
      <c r="F147" s="977">
        <v>107</v>
      </c>
      <c r="G147" s="21">
        <v>145.297933135779</v>
      </c>
      <c r="H147" s="21"/>
      <c r="I147" s="21"/>
      <c r="J147" s="977">
        <v>57.394714751730206</v>
      </c>
      <c r="K147" s="21"/>
      <c r="L147" s="985">
        <v>153</v>
      </c>
      <c r="M147" s="977">
        <v>5.6071822142579819</v>
      </c>
      <c r="N147" s="985">
        <v>158</v>
      </c>
      <c r="O147" s="977">
        <v>95.768386529800821</v>
      </c>
    </row>
    <row r="148" spans="2:18" x14ac:dyDescent="0.25">
      <c r="B148" s="21" t="s">
        <v>213</v>
      </c>
      <c r="C148" s="977">
        <v>43</v>
      </c>
      <c r="D148" s="915">
        <v>1.1373181454328294</v>
      </c>
      <c r="E148" s="977">
        <v>131.5</v>
      </c>
      <c r="F148" s="977">
        <v>152.5</v>
      </c>
      <c r="G148" s="21">
        <v>298.68143896602697</v>
      </c>
      <c r="H148" s="21"/>
      <c r="I148" s="21"/>
      <c r="J148" s="977">
        <v>262.61907467620478</v>
      </c>
      <c r="K148" s="21"/>
      <c r="L148" s="21"/>
      <c r="M148" s="21"/>
      <c r="N148" s="985">
        <v>156</v>
      </c>
      <c r="O148" s="977">
        <v>61.958018811974945</v>
      </c>
    </row>
    <row r="149" spans="2:18" x14ac:dyDescent="0.25">
      <c r="B149" s="21" t="s">
        <v>212</v>
      </c>
      <c r="C149" s="977">
        <v>157</v>
      </c>
      <c r="D149" s="915">
        <v>16.596294931578214</v>
      </c>
      <c r="E149" s="977">
        <v>61.5</v>
      </c>
      <c r="F149" s="977">
        <v>18</v>
      </c>
      <c r="G149" s="21"/>
      <c r="H149" s="21"/>
      <c r="I149" s="21"/>
      <c r="J149" s="977">
        <v>0</v>
      </c>
    </row>
    <row r="150" spans="2:18" x14ac:dyDescent="0.25">
      <c r="B150" s="21" t="s">
        <v>213</v>
      </c>
      <c r="C150" s="984">
        <v>160</v>
      </c>
      <c r="D150" s="915">
        <v>16.128181263738359</v>
      </c>
      <c r="E150" s="977">
        <v>694</v>
      </c>
      <c r="F150" s="977">
        <v>683.5</v>
      </c>
      <c r="G150" s="21">
        <v>2231.2465709129101</v>
      </c>
      <c r="H150" s="21"/>
      <c r="I150" s="21"/>
      <c r="J150" s="977">
        <v>138.34458668501648</v>
      </c>
    </row>
    <row r="151" spans="2:18" x14ac:dyDescent="0.25">
      <c r="B151" s="21" t="s">
        <v>212</v>
      </c>
      <c r="C151" s="984">
        <v>159</v>
      </c>
      <c r="D151" s="915">
        <v>11.198955567132129</v>
      </c>
      <c r="E151" s="977">
        <v>78</v>
      </c>
      <c r="F151" s="977">
        <v>46.5</v>
      </c>
      <c r="G151" s="21">
        <v>28.894326461412899</v>
      </c>
      <c r="H151" s="21"/>
      <c r="I151" s="21"/>
      <c r="J151" s="977">
        <v>2.5800911779858295</v>
      </c>
    </row>
    <row r="152" spans="2:18" x14ac:dyDescent="0.25">
      <c r="B152" s="21" t="s">
        <v>212</v>
      </c>
      <c r="C152" s="984">
        <v>29</v>
      </c>
      <c r="D152" s="915">
        <v>1.8232113134188024</v>
      </c>
      <c r="E152" s="977">
        <v>97.5</v>
      </c>
      <c r="F152" s="977">
        <v>98.5</v>
      </c>
      <c r="G152" s="21">
        <v>124.033689361025</v>
      </c>
      <c r="H152" s="21"/>
      <c r="I152" s="21"/>
      <c r="J152" s="977">
        <v>68.030342093721814</v>
      </c>
    </row>
    <row r="153" spans="2:18" x14ac:dyDescent="0.25">
      <c r="B153" s="21" t="s">
        <v>212</v>
      </c>
      <c r="C153" s="984">
        <v>35</v>
      </c>
      <c r="D153" s="915">
        <v>1.6739088725969784</v>
      </c>
      <c r="E153" s="977">
        <v>123.5</v>
      </c>
      <c r="F153" s="977">
        <v>127.5</v>
      </c>
      <c r="G153" s="21">
        <v>226.87897927820001</v>
      </c>
      <c r="H153" s="21"/>
      <c r="I153" s="21"/>
      <c r="J153" s="977">
        <v>135.53842923731543</v>
      </c>
    </row>
    <row r="154" spans="2:18" x14ac:dyDescent="0.25">
      <c r="B154" s="21" t="s">
        <v>212</v>
      </c>
      <c r="C154" s="984">
        <v>33</v>
      </c>
      <c r="D154" s="915">
        <v>1.6435993545354053</v>
      </c>
      <c r="E154" s="977">
        <v>5</v>
      </c>
      <c r="F154" s="977">
        <v>5</v>
      </c>
      <c r="G154" s="21"/>
      <c r="H154" s="21"/>
      <c r="I154" s="21"/>
      <c r="J154" s="977">
        <v>0</v>
      </c>
      <c r="R154" s="64"/>
    </row>
    <row r="155" spans="2:18" x14ac:dyDescent="0.25">
      <c r="B155" s="21" t="s">
        <v>212</v>
      </c>
      <c r="C155" s="984">
        <v>31</v>
      </c>
      <c r="D155" s="915">
        <v>1.0789442587957256</v>
      </c>
      <c r="E155" s="977">
        <v>7</v>
      </c>
      <c r="F155" s="977">
        <v>6.5</v>
      </c>
      <c r="G155" s="21"/>
      <c r="H155" s="21"/>
      <c r="I155" s="21"/>
      <c r="J155" s="977">
        <v>0</v>
      </c>
      <c r="R155" s="64"/>
    </row>
    <row r="156" spans="2:18" x14ac:dyDescent="0.25">
      <c r="B156" s="21" t="s">
        <v>213</v>
      </c>
      <c r="C156" s="985">
        <v>34</v>
      </c>
      <c r="D156" s="915">
        <v>1.3887748878695858</v>
      </c>
      <c r="E156" s="977">
        <v>135</v>
      </c>
      <c r="F156" s="977">
        <v>133</v>
      </c>
      <c r="G156" s="21">
        <v>263.077014391891</v>
      </c>
      <c r="H156" s="21"/>
      <c r="I156" s="21"/>
      <c r="J156" s="977">
        <v>189.43099899758232</v>
      </c>
      <c r="R156" s="64"/>
    </row>
    <row r="157" spans="2:18" x14ac:dyDescent="0.25">
      <c r="B157" s="21" t="s">
        <v>213</v>
      </c>
      <c r="C157" s="985">
        <v>40</v>
      </c>
      <c r="D157" s="915">
        <v>1.5414450529204733</v>
      </c>
      <c r="E157" s="977">
        <v>111</v>
      </c>
      <c r="F157" s="977">
        <v>116.5</v>
      </c>
      <c r="G157" s="21">
        <v>180.06987496996999</v>
      </c>
      <c r="H157" s="21"/>
      <c r="I157" s="21"/>
      <c r="J157" s="977">
        <v>116.81887371126436</v>
      </c>
      <c r="R157" s="64"/>
    </row>
    <row r="158" spans="2:18" x14ac:dyDescent="0.25">
      <c r="B158" s="21" t="s">
        <v>212</v>
      </c>
      <c r="C158" s="985">
        <v>153</v>
      </c>
      <c r="D158" s="915">
        <v>10.920557030862863</v>
      </c>
      <c r="E158" s="977">
        <v>82</v>
      </c>
      <c r="F158" s="977">
        <v>71</v>
      </c>
      <c r="G158" s="21">
        <v>61.233553153244202</v>
      </c>
      <c r="H158" s="21"/>
      <c r="I158" s="21"/>
      <c r="J158" s="977">
        <v>5.6071822142579819</v>
      </c>
      <c r="R158" s="64"/>
    </row>
    <row r="159" spans="2:18" x14ac:dyDescent="0.25">
      <c r="B159" s="21" t="s">
        <v>213</v>
      </c>
      <c r="C159" s="985">
        <v>158</v>
      </c>
      <c r="D159" s="915">
        <v>11.952203219699378</v>
      </c>
      <c r="E159" s="977">
        <v>333</v>
      </c>
      <c r="F159" s="977">
        <v>323</v>
      </c>
      <c r="G159" s="21">
        <v>1144.6432178268999</v>
      </c>
      <c r="H159" s="21"/>
      <c r="I159" s="21"/>
      <c r="J159" s="977">
        <v>95.768386529800821</v>
      </c>
      <c r="R159" s="64"/>
    </row>
    <row r="160" spans="2:18" x14ac:dyDescent="0.25">
      <c r="B160" s="21" t="s">
        <v>213</v>
      </c>
      <c r="C160" s="985">
        <v>156</v>
      </c>
      <c r="D160" s="915">
        <v>10.992401814416224</v>
      </c>
      <c r="E160" s="977">
        <v>220</v>
      </c>
      <c r="F160" s="977">
        <v>222</v>
      </c>
      <c r="G160" s="21">
        <v>681.06743840638796</v>
      </c>
      <c r="H160" s="21"/>
      <c r="I160" s="21"/>
      <c r="J160" s="977">
        <v>61.958018811974945</v>
      </c>
      <c r="R160" s="64"/>
    </row>
    <row r="161" spans="3:18" x14ac:dyDescent="0.25">
      <c r="C161" s="262"/>
      <c r="R161" s="64"/>
    </row>
    <row r="162" spans="3:18" ht="15.6" x14ac:dyDescent="0.3">
      <c r="N162" s="922"/>
      <c r="O162" s="921"/>
      <c r="P162" s="1"/>
      <c r="Q162" s="918"/>
      <c r="R162" s="64"/>
    </row>
  </sheetData>
  <mergeCells count="1">
    <mergeCell ref="D125:G125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72"/>
  <sheetViews>
    <sheetView topLeftCell="A22" zoomScale="95" zoomScaleNormal="95" workbookViewId="0">
      <selection activeCell="AB25" sqref="AB25"/>
    </sheetView>
  </sheetViews>
  <sheetFormatPr defaultRowHeight="13.2" x14ac:dyDescent="0.25"/>
  <cols>
    <col min="1" max="1" width="12.77734375" customWidth="1"/>
    <col min="2" max="2" width="7.77734375" customWidth="1"/>
    <col min="3" max="3" width="6.5546875" customWidth="1"/>
    <col min="4" max="5" width="8.5546875" customWidth="1"/>
    <col min="8" max="8" width="8.77734375" customWidth="1"/>
    <col min="9" max="10" width="8.5546875" customWidth="1"/>
    <col min="11" max="11" width="8.77734375" customWidth="1"/>
    <col min="12" max="12" width="8.5546875" customWidth="1"/>
    <col min="13" max="14" width="8.77734375" customWidth="1"/>
    <col min="15" max="15" width="8.5546875" customWidth="1"/>
    <col min="16" max="16" width="8.77734375" customWidth="1"/>
    <col min="18" max="19" width="8.44140625" customWidth="1"/>
    <col min="20" max="21" width="8.77734375" customWidth="1"/>
    <col min="22" max="22" width="8.21875" customWidth="1"/>
    <col min="23" max="23" width="8.44140625" customWidth="1"/>
    <col min="24" max="25" width="9.21875" customWidth="1"/>
  </cols>
  <sheetData>
    <row r="1" spans="1:28" ht="14.4" thickBot="1" x14ac:dyDescent="0.3">
      <c r="A1" s="196"/>
      <c r="B1" s="428"/>
      <c r="C1" s="309"/>
      <c r="D1" s="429"/>
      <c r="E1" s="429"/>
      <c r="F1" s="430"/>
      <c r="G1" s="430"/>
      <c r="H1" s="430"/>
      <c r="I1" s="430"/>
      <c r="J1" s="430"/>
      <c r="K1" s="430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</row>
    <row r="2" spans="1:28" ht="14.4" thickBot="1" x14ac:dyDescent="0.3">
      <c r="A2" s="465" t="s">
        <v>1</v>
      </c>
      <c r="B2" s="323"/>
      <c r="C2" s="323"/>
      <c r="D2" s="432">
        <v>43664</v>
      </c>
      <c r="E2" s="432">
        <v>43665</v>
      </c>
      <c r="F2" s="432">
        <v>43666</v>
      </c>
      <c r="G2" s="432">
        <v>43667</v>
      </c>
      <c r="H2" s="432">
        <v>43668</v>
      </c>
      <c r="I2" s="432">
        <v>43669</v>
      </c>
      <c r="J2" s="432">
        <v>43670</v>
      </c>
      <c r="K2" s="432">
        <v>43671</v>
      </c>
      <c r="L2" s="432">
        <v>43672</v>
      </c>
      <c r="M2" s="432">
        <v>43673</v>
      </c>
      <c r="N2" s="432">
        <v>43674</v>
      </c>
      <c r="O2" s="432">
        <v>43675</v>
      </c>
      <c r="P2" s="432">
        <v>43676</v>
      </c>
      <c r="Q2" s="432">
        <v>43677</v>
      </c>
      <c r="R2" s="432">
        <v>43678</v>
      </c>
      <c r="S2" s="432">
        <v>43679</v>
      </c>
      <c r="T2" s="432">
        <v>43680</v>
      </c>
      <c r="U2" s="432">
        <v>43681</v>
      </c>
      <c r="V2" s="432">
        <v>43682</v>
      </c>
      <c r="W2" s="432">
        <v>43683</v>
      </c>
      <c r="X2" s="432">
        <v>43684</v>
      </c>
      <c r="Y2" s="432">
        <v>43685</v>
      </c>
      <c r="Z2" s="433"/>
      <c r="AA2" s="434"/>
      <c r="AB2" s="434"/>
    </row>
    <row r="3" spans="1:28" ht="14.4" thickBot="1" x14ac:dyDescent="0.3">
      <c r="A3" s="435" t="s">
        <v>182</v>
      </c>
      <c r="B3" s="481" t="s">
        <v>188</v>
      </c>
      <c r="C3" s="477" t="s">
        <v>189</v>
      </c>
      <c r="D3" s="482" t="s">
        <v>60</v>
      </c>
      <c r="E3" s="483" t="s">
        <v>61</v>
      </c>
      <c r="F3" s="483" t="s">
        <v>62</v>
      </c>
      <c r="G3" s="483" t="s">
        <v>63</v>
      </c>
      <c r="H3" s="483" t="s">
        <v>64</v>
      </c>
      <c r="I3" s="483" t="s">
        <v>65</v>
      </c>
      <c r="J3" s="483" t="s">
        <v>66</v>
      </c>
      <c r="K3" s="483" t="s">
        <v>67</v>
      </c>
      <c r="L3" s="483" t="s">
        <v>68</v>
      </c>
      <c r="M3" s="483" t="s">
        <v>69</v>
      </c>
      <c r="N3" s="483" t="s">
        <v>70</v>
      </c>
      <c r="O3" s="483" t="s">
        <v>179</v>
      </c>
      <c r="P3" s="483" t="s">
        <v>180</v>
      </c>
      <c r="Q3" s="483" t="s">
        <v>181</v>
      </c>
      <c r="R3" s="484" t="s">
        <v>74</v>
      </c>
      <c r="S3" s="484" t="s">
        <v>75</v>
      </c>
      <c r="T3" s="484" t="s">
        <v>76</v>
      </c>
      <c r="U3" s="484" t="s">
        <v>77</v>
      </c>
      <c r="V3" s="484" t="s">
        <v>78</v>
      </c>
      <c r="W3" s="484" t="s">
        <v>79</v>
      </c>
      <c r="X3" s="484" t="s">
        <v>80</v>
      </c>
      <c r="Y3" s="485" t="s">
        <v>81</v>
      </c>
      <c r="Z3" s="436"/>
      <c r="AA3" s="434"/>
      <c r="AB3" s="434"/>
    </row>
    <row r="4" spans="1:28" ht="13.8" x14ac:dyDescent="0.25">
      <c r="A4" s="439">
        <v>3511</v>
      </c>
      <c r="B4" s="473" t="s">
        <v>185</v>
      </c>
      <c r="C4" s="440" t="s">
        <v>82</v>
      </c>
      <c r="D4" s="441">
        <f>[5]Weights!D5-[5]Weights!$D5</f>
        <v>0</v>
      </c>
      <c r="E4" s="442">
        <f>[5]Weights!E5-[5]Weights!$D5</f>
        <v>-1.1000000000000014</v>
      </c>
      <c r="F4" s="442"/>
      <c r="G4" s="442"/>
      <c r="H4" s="442">
        <f>[5]Weights!H5-[5]Weights!$D5</f>
        <v>-1.3000000000000007</v>
      </c>
      <c r="I4" s="442"/>
      <c r="J4" s="442">
        <f>[5]Weights!J5-[5]Weights!$D5</f>
        <v>-1.6999999999999993</v>
      </c>
      <c r="K4" s="442"/>
      <c r="L4" s="442">
        <f>[5]Weights!L5-[5]Weights!$D5</f>
        <v>0.39999999999999858</v>
      </c>
      <c r="M4" s="442"/>
      <c r="N4" s="442"/>
      <c r="O4" s="442">
        <f>[5]Weights!O5-[5]Weights!$D5</f>
        <v>-0.80000000000000071</v>
      </c>
      <c r="P4" s="442"/>
      <c r="Q4" s="442">
        <f>[5]Weights!Q5-[5]Weights!$D5</f>
        <v>-0.80000000000000071</v>
      </c>
      <c r="R4" s="442"/>
      <c r="S4" s="442">
        <f>[5]Weights!S5-[5]Weights!$D5</f>
        <v>-0.60000000000000142</v>
      </c>
      <c r="T4" s="442"/>
      <c r="U4" s="442"/>
      <c r="V4" s="442">
        <f>[5]Weights!V5-[5]Weights!$D5</f>
        <v>-0.5</v>
      </c>
      <c r="W4" s="442"/>
      <c r="X4" s="442"/>
      <c r="Y4" s="486">
        <f>[5]Weights!Y5-[5]Weights!$D5</f>
        <v>0.30000000000000071</v>
      </c>
      <c r="Z4" s="443"/>
      <c r="AA4" s="434"/>
      <c r="AB4" s="434"/>
    </row>
    <row r="5" spans="1:28" ht="13.8" x14ac:dyDescent="0.25">
      <c r="A5" s="444">
        <v>3463</v>
      </c>
      <c r="B5" s="474" t="s">
        <v>185</v>
      </c>
      <c r="C5" s="445" t="s">
        <v>82</v>
      </c>
      <c r="D5" s="446">
        <f>[5]Weights!D6-[5]Weights!$D6</f>
        <v>0</v>
      </c>
      <c r="E5" s="447">
        <f>[5]Weights!E6-[5]Weights!$D6</f>
        <v>-1.2000000000000028</v>
      </c>
      <c r="F5" s="447"/>
      <c r="G5" s="447"/>
      <c r="H5" s="447">
        <f>[5]Weights!H6-[5]Weights!$D6</f>
        <v>-1.4000000000000021</v>
      </c>
      <c r="I5" s="447"/>
      <c r="J5" s="447">
        <f>[5]Weights!J6-[5]Weights!$D6</f>
        <v>-0.80000000000000071</v>
      </c>
      <c r="K5" s="447"/>
      <c r="L5" s="447">
        <f>[5]Weights!L6-[5]Weights!$D6</f>
        <v>-1.1000000000000014</v>
      </c>
      <c r="M5" s="447"/>
      <c r="N5" s="447"/>
      <c r="O5" s="447">
        <f>[5]Weights!O6-[5]Weights!$D6</f>
        <v>9.9999999999997868E-2</v>
      </c>
      <c r="P5" s="447"/>
      <c r="Q5" s="447">
        <f>[5]Weights!Q6-[5]Weights!$D6</f>
        <v>0</v>
      </c>
      <c r="R5" s="447"/>
      <c r="S5" s="447">
        <f>[5]Weights!S6-[5]Weights!$D6</f>
        <v>0.59999999999999787</v>
      </c>
      <c r="T5" s="447"/>
      <c r="U5" s="447"/>
      <c r="V5" s="447">
        <f>[5]Weights!V6-[5]Weights!$D6</f>
        <v>0.39999999999999858</v>
      </c>
      <c r="W5" s="447"/>
      <c r="X5" s="447"/>
      <c r="Y5" s="487">
        <f>[5]Weights!Y6-[5]Weights!$D6</f>
        <v>2</v>
      </c>
      <c r="Z5" s="443"/>
      <c r="AA5" s="434"/>
      <c r="AB5" s="434"/>
    </row>
    <row r="6" spans="1:28" ht="13.8" x14ac:dyDescent="0.25">
      <c r="A6" s="444">
        <v>3464</v>
      </c>
      <c r="B6" s="474" t="s">
        <v>185</v>
      </c>
      <c r="C6" s="445" t="s">
        <v>82</v>
      </c>
      <c r="D6" s="446">
        <f>[5]Weights!D7-[5]Weights!$D7</f>
        <v>0</v>
      </c>
      <c r="E6" s="447">
        <f>[5]Weights!E7-[5]Weights!$D7</f>
        <v>-0.30000000000000071</v>
      </c>
      <c r="F6" s="447"/>
      <c r="G6" s="447"/>
      <c r="H6" s="447">
        <f>[5]Weights!H7-[5]Weights!$D7</f>
        <v>-0.30000000000000071</v>
      </c>
      <c r="I6" s="447"/>
      <c r="J6" s="447">
        <f>[5]Weights!J7-[5]Weights!$D7</f>
        <v>-0.20000000000000284</v>
      </c>
      <c r="K6" s="447"/>
      <c r="L6" s="447">
        <f>[5]Weights!L7-[5]Weights!$D7</f>
        <v>-0.30000000000000071</v>
      </c>
      <c r="M6" s="447"/>
      <c r="N6" s="447"/>
      <c r="O6" s="447">
        <f>[5]Weights!O7-[5]Weights!$D7</f>
        <v>1.5</v>
      </c>
      <c r="P6" s="447"/>
      <c r="Q6" s="447">
        <f>[5]Weights!Q7-[5]Weights!$D7</f>
        <v>1.1999999999999993</v>
      </c>
      <c r="R6" s="447"/>
      <c r="S6" s="447">
        <f>[5]Weights!S7-[5]Weights!$D7</f>
        <v>0.89999999999999858</v>
      </c>
      <c r="T6" s="447"/>
      <c r="U6" s="447"/>
      <c r="V6" s="447">
        <f>[5]Weights!V7-[5]Weights!$D7</f>
        <v>0.69999999999999929</v>
      </c>
      <c r="W6" s="447"/>
      <c r="X6" s="447"/>
      <c r="Y6" s="487">
        <f>[5]Weights!Y7-[5]Weights!$D7</f>
        <v>0.69999999999999929</v>
      </c>
      <c r="Z6" s="443"/>
      <c r="AA6" s="434"/>
      <c r="AB6" s="434"/>
    </row>
    <row r="7" spans="1:28" ht="13.8" x14ac:dyDescent="0.25">
      <c r="A7" s="444">
        <v>3538</v>
      </c>
      <c r="B7" s="474" t="s">
        <v>185</v>
      </c>
      <c r="C7" s="445" t="s">
        <v>82</v>
      </c>
      <c r="D7" s="446">
        <f>[5]Weights!D8-[5]Weights!$D8</f>
        <v>0</v>
      </c>
      <c r="E7" s="447">
        <f>[5]Weights!E8-[5]Weights!$D8</f>
        <v>-1</v>
      </c>
      <c r="F7" s="447"/>
      <c r="G7" s="447"/>
      <c r="H7" s="447">
        <f>[5]Weights!H8-[5]Weights!$D8</f>
        <v>-2.1999999999999993</v>
      </c>
      <c r="I7" s="447"/>
      <c r="J7" s="447">
        <f>[5]Weights!J8-[5]Weights!$D8</f>
        <v>-2.5</v>
      </c>
      <c r="K7" s="447"/>
      <c r="L7" s="447">
        <f>[5]Weights!L8-[5]Weights!$D8</f>
        <v>-2.1999999999999993</v>
      </c>
      <c r="M7" s="447"/>
      <c r="N7" s="447"/>
      <c r="O7" s="447">
        <f>[5]Weights!O8-[5]Weights!$D8</f>
        <v>-0.69999999999999929</v>
      </c>
      <c r="P7" s="447"/>
      <c r="Q7" s="447">
        <f>[5]Weights!Q8-[5]Weights!$D8</f>
        <v>-1</v>
      </c>
      <c r="R7" s="447"/>
      <c r="S7" s="447">
        <f>[5]Weights!S8-[5]Weights!$D8</f>
        <v>-0.69999999999999929</v>
      </c>
      <c r="T7" s="447"/>
      <c r="U7" s="447"/>
      <c r="V7" s="447">
        <f>[5]Weights!V8-[5]Weights!$D8</f>
        <v>-0.19999999999999929</v>
      </c>
      <c r="W7" s="447"/>
      <c r="X7" s="447"/>
      <c r="Y7" s="487">
        <f>[5]Weights!Y8-[5]Weights!$D8</f>
        <v>0.19999999999999929</v>
      </c>
      <c r="Z7" s="443"/>
      <c r="AA7" s="434"/>
      <c r="AB7" s="434"/>
    </row>
    <row r="8" spans="1:28" ht="13.8" x14ac:dyDescent="0.25">
      <c r="A8" s="444">
        <v>3535</v>
      </c>
      <c r="B8" s="474" t="s">
        <v>185</v>
      </c>
      <c r="C8" s="445" t="s">
        <v>82</v>
      </c>
      <c r="D8" s="446">
        <f>[5]Weights!D9-[5]Weights!$D9</f>
        <v>0</v>
      </c>
      <c r="E8" s="447">
        <f>[5]Weights!E9-[5]Weights!$D9</f>
        <v>-1.6999999999999993</v>
      </c>
      <c r="F8" s="447"/>
      <c r="G8" s="447"/>
      <c r="H8" s="447">
        <f>[5]Weights!H9-[5]Weights!$D9</f>
        <v>-1</v>
      </c>
      <c r="I8" s="447"/>
      <c r="J8" s="447">
        <f>[5]Weights!J9-[5]Weights!$D9</f>
        <v>-0.80000000000000071</v>
      </c>
      <c r="K8" s="447"/>
      <c r="L8" s="447">
        <f>[5]Weights!L9-[5]Weights!$D9</f>
        <v>-0.30000000000000071</v>
      </c>
      <c r="M8" s="447"/>
      <c r="N8" s="447"/>
      <c r="O8" s="447">
        <f>[5]Weights!O9-[5]Weights!$D9</f>
        <v>0.5</v>
      </c>
      <c r="P8" s="447"/>
      <c r="Q8" s="447">
        <f>[5]Weights!Q9-[5]Weights!$D9</f>
        <v>0.5</v>
      </c>
      <c r="R8" s="447"/>
      <c r="S8" s="447">
        <f>[5]Weights!S9-[5]Weights!$D9</f>
        <v>0.5</v>
      </c>
      <c r="T8" s="447"/>
      <c r="U8" s="447"/>
      <c r="V8" s="447">
        <f>[5]Weights!V9-[5]Weights!$D9</f>
        <v>0.69999999999999929</v>
      </c>
      <c r="W8" s="447"/>
      <c r="X8" s="447"/>
      <c r="Y8" s="487">
        <f>[5]Weights!Y9-[5]Weights!$D9</f>
        <v>1</v>
      </c>
      <c r="Z8" s="443"/>
      <c r="AA8" s="434"/>
      <c r="AB8" s="434"/>
    </row>
    <row r="9" spans="1:28" ht="13.8" x14ac:dyDescent="0.25">
      <c r="A9" s="444">
        <v>3546</v>
      </c>
      <c r="B9" s="474" t="s">
        <v>185</v>
      </c>
      <c r="C9" s="445" t="s">
        <v>82</v>
      </c>
      <c r="D9" s="446">
        <f>[5]Weights!D10-[5]Weights!$D10</f>
        <v>0</v>
      </c>
      <c r="E9" s="447">
        <f>[5]Weights!E10-[5]Weights!$D10</f>
        <v>-0.40000000000000213</v>
      </c>
      <c r="F9" s="447"/>
      <c r="G9" s="447"/>
      <c r="H9" s="447">
        <f>[5]Weights!H10-[5]Weights!$D10</f>
        <v>-0.40000000000000213</v>
      </c>
      <c r="I9" s="447"/>
      <c r="J9" s="447">
        <f>[5]Weights!J10-[5]Weights!$D10</f>
        <v>0.39999999999999858</v>
      </c>
      <c r="K9" s="447"/>
      <c r="L9" s="447">
        <f>[5]Weights!L10-[5]Weights!$D10</f>
        <v>1</v>
      </c>
      <c r="M9" s="447"/>
      <c r="N9" s="447"/>
      <c r="O9" s="447">
        <f>[5]Weights!O10-[5]Weights!$D10</f>
        <v>1.2999999999999972</v>
      </c>
      <c r="P9" s="447"/>
      <c r="Q9" s="447">
        <f>[5]Weights!Q10-[5]Weights!$D10</f>
        <v>1.5</v>
      </c>
      <c r="R9" s="447"/>
      <c r="S9" s="447">
        <f>[5]Weights!S10-[5]Weights!$D10</f>
        <v>1.6999999999999993</v>
      </c>
      <c r="T9" s="447"/>
      <c r="U9" s="447"/>
      <c r="V9" s="447">
        <f>[5]Weights!V10-[5]Weights!$D10</f>
        <v>2.1999999999999993</v>
      </c>
      <c r="W9" s="447"/>
      <c r="X9" s="447"/>
      <c r="Y9" s="487">
        <f>[5]Weights!Y10-[5]Weights!$D10</f>
        <v>2</v>
      </c>
      <c r="Z9" s="443"/>
      <c r="AA9" s="434"/>
      <c r="AB9" s="434"/>
    </row>
    <row r="10" spans="1:28" ht="13.8" x14ac:dyDescent="0.25">
      <c r="A10" s="444">
        <v>3513</v>
      </c>
      <c r="B10" s="474" t="s">
        <v>185</v>
      </c>
      <c r="C10" s="445" t="s">
        <v>82</v>
      </c>
      <c r="D10" s="446">
        <f>[5]Weights!D11-[5]Weights!$D11</f>
        <v>0</v>
      </c>
      <c r="E10" s="447">
        <f>[5]Weights!E11-[5]Weights!$D11</f>
        <v>-0.60000000000000142</v>
      </c>
      <c r="F10" s="447"/>
      <c r="G10" s="447"/>
      <c r="H10" s="447">
        <f>[5]Weights!H11-[5]Weights!$D11</f>
        <v>-1.4000000000000021</v>
      </c>
      <c r="I10" s="447"/>
      <c r="J10" s="447">
        <f>[5]Weights!J11-[5]Weights!$D11</f>
        <v>-2.4000000000000021</v>
      </c>
      <c r="K10" s="447"/>
      <c r="L10" s="447">
        <f>[5]Weights!L11-[5]Weights!$D11</f>
        <v>-2.8000000000000007</v>
      </c>
      <c r="M10" s="447"/>
      <c r="N10" s="447"/>
      <c r="O10" s="447">
        <f>[5]Weights!O11-[5]Weights!$D11</f>
        <v>-1.9000000000000021</v>
      </c>
      <c r="P10" s="447"/>
      <c r="Q10" s="447">
        <f>[5]Weights!Q11-[5]Weights!$D11</f>
        <v>-1.4000000000000021</v>
      </c>
      <c r="R10" s="447"/>
      <c r="S10" s="447">
        <f>[5]Weights!S11-[5]Weights!$D11</f>
        <v>-1.2000000000000028</v>
      </c>
      <c r="T10" s="447"/>
      <c r="U10" s="447"/>
      <c r="V10" s="447">
        <f>[5]Weights!V11-[5]Weights!$D11</f>
        <v>-1.1000000000000014</v>
      </c>
      <c r="W10" s="447"/>
      <c r="X10" s="447"/>
      <c r="Y10" s="487">
        <f>[5]Weights!Y11-[5]Weights!$D11</f>
        <v>-1.3000000000000007</v>
      </c>
      <c r="Z10" s="443"/>
      <c r="AA10" s="434"/>
      <c r="AB10" s="434"/>
    </row>
    <row r="11" spans="1:28" ht="13.8" x14ac:dyDescent="0.25">
      <c r="A11" s="444">
        <v>3461</v>
      </c>
      <c r="B11" s="474" t="s">
        <v>185</v>
      </c>
      <c r="C11" s="445" t="s">
        <v>83</v>
      </c>
      <c r="D11" s="446">
        <f>[5]Weights!D12-[5]Weights!$D12</f>
        <v>0</v>
      </c>
      <c r="E11" s="447">
        <f>[5]Weights!E12-[5]Weights!$D12</f>
        <v>-0.59999999999999787</v>
      </c>
      <c r="F11" s="447"/>
      <c r="G11" s="447"/>
      <c r="H11" s="447">
        <f>[5]Weights!H12-[5]Weights!$D12</f>
        <v>-1.7999999999999972</v>
      </c>
      <c r="I11" s="447"/>
      <c r="J11" s="447">
        <f>[5]Weights!J12-[5]Weights!$D12</f>
        <v>-1.5</v>
      </c>
      <c r="K11" s="447"/>
      <c r="L11" s="447">
        <f>[5]Weights!L12-[5]Weights!$D12</f>
        <v>-1.0999999999999979</v>
      </c>
      <c r="M11" s="447"/>
      <c r="N11" s="447"/>
      <c r="O11" s="447">
        <f>[5]Weights!O12-[5]Weights!$D12</f>
        <v>-0.29999999999999716</v>
      </c>
      <c r="P11" s="447"/>
      <c r="Q11" s="447">
        <f>[5]Weights!Q12-[5]Weights!$D12</f>
        <v>-0.19999999999999929</v>
      </c>
      <c r="R11" s="447"/>
      <c r="S11" s="447">
        <f>[5]Weights!S12-[5]Weights!$D12</f>
        <v>-0.29999999999999716</v>
      </c>
      <c r="T11" s="447"/>
      <c r="U11" s="447"/>
      <c r="V11" s="447">
        <f>[5]Weights!V12-[5]Weights!$D12</f>
        <v>-0.39999999999999858</v>
      </c>
      <c r="W11" s="447"/>
      <c r="X11" s="447"/>
      <c r="Y11" s="487">
        <f>[5]Weights!Y12-[5]Weights!$D12</f>
        <v>-0.59999999999999787</v>
      </c>
      <c r="Z11" s="443"/>
      <c r="AA11" s="434"/>
      <c r="AB11" s="434"/>
    </row>
    <row r="12" spans="1:28" ht="14.4" thickBot="1" x14ac:dyDescent="0.3">
      <c r="A12" s="448">
        <v>2541</v>
      </c>
      <c r="B12" s="475" t="s">
        <v>185</v>
      </c>
      <c r="C12" s="449" t="s">
        <v>83</v>
      </c>
      <c r="D12" s="488">
        <f>[5]Weights!D13-[5]Weights!$D13</f>
        <v>0</v>
      </c>
      <c r="E12" s="489">
        <f>[5]Weights!E13-[5]Weights!$D13</f>
        <v>-0.30000000000000071</v>
      </c>
      <c r="F12" s="489"/>
      <c r="G12" s="489"/>
      <c r="H12" s="489">
        <f>[5]Weights!H13-[5]Weights!$D13</f>
        <v>-0.39999999999999858</v>
      </c>
      <c r="I12" s="489"/>
      <c r="J12" s="489">
        <f>[5]Weights!J13-[5]Weights!$D13</f>
        <v>-0.10000000000000142</v>
      </c>
      <c r="K12" s="489"/>
      <c r="L12" s="489">
        <f>[5]Weights!L13-[5]Weights!$D13</f>
        <v>-1.1000000000000014</v>
      </c>
      <c r="M12" s="489"/>
      <c r="N12" s="489"/>
      <c r="O12" s="489">
        <f>[5]Weights!O13-[5]Weights!$D13</f>
        <v>0.30000000000000071</v>
      </c>
      <c r="P12" s="489"/>
      <c r="Q12" s="489">
        <f>[5]Weights!Q13-[5]Weights!$D13</f>
        <v>0.69999999999999929</v>
      </c>
      <c r="R12" s="489"/>
      <c r="S12" s="489">
        <f>[5]Weights!S13-[5]Weights!$D13</f>
        <v>1.5</v>
      </c>
      <c r="T12" s="489"/>
      <c r="U12" s="489"/>
      <c r="V12" s="489">
        <f>[5]Weights!V13-[5]Weights!$D13</f>
        <v>2.1000000000000014</v>
      </c>
      <c r="W12" s="489"/>
      <c r="X12" s="489"/>
      <c r="Y12" s="490">
        <f>[5]Weights!Y13-[5]Weights!$D13</f>
        <v>2</v>
      </c>
      <c r="Z12" s="443"/>
      <c r="AA12" s="434"/>
      <c r="AB12" s="434"/>
    </row>
    <row r="13" spans="1:28" ht="13.8" x14ac:dyDescent="0.25">
      <c r="A13" s="309"/>
      <c r="B13" s="428"/>
      <c r="C13" s="450"/>
      <c r="D13" s="451">
        <f>AVERAGE(D4:D12)</f>
        <v>0</v>
      </c>
      <c r="E13" s="451">
        <f t="shared" ref="E13:Y13" si="0">AVERAGE(E4:E12)</f>
        <v>-0.80000000000000071</v>
      </c>
      <c r="F13" s="451" t="e">
        <f t="shared" si="0"/>
        <v>#DIV/0!</v>
      </c>
      <c r="G13" s="451" t="e">
        <f t="shared" si="0"/>
        <v>#DIV/0!</v>
      </c>
      <c r="H13" s="451">
        <f t="shared" si="0"/>
        <v>-1.1333333333333337</v>
      </c>
      <c r="I13" s="451" t="e">
        <f t="shared" si="0"/>
        <v>#DIV/0!</v>
      </c>
      <c r="J13" s="451">
        <f t="shared" si="0"/>
        <v>-1.0666666666666675</v>
      </c>
      <c r="K13" s="451" t="e">
        <f t="shared" si="0"/>
        <v>#DIV/0!</v>
      </c>
      <c r="L13" s="451">
        <f t="shared" si="0"/>
        <v>-0.8333333333333337</v>
      </c>
      <c r="M13" s="451" t="e">
        <f t="shared" si="0"/>
        <v>#DIV/0!</v>
      </c>
      <c r="N13" s="451" t="e">
        <f t="shared" si="0"/>
        <v>#DIV/0!</v>
      </c>
      <c r="O13" s="451">
        <f t="shared" si="0"/>
        <v>-3.9474596431116675E-16</v>
      </c>
      <c r="P13" s="451" t="e">
        <f t="shared" si="0"/>
        <v>#DIV/0!</v>
      </c>
      <c r="Q13" s="451">
        <f t="shared" si="0"/>
        <v>5.5555555555555164E-2</v>
      </c>
      <c r="R13" s="451" t="e">
        <f t="shared" si="0"/>
        <v>#DIV/0!</v>
      </c>
      <c r="S13" s="451">
        <f t="shared" si="0"/>
        <v>0.26666666666666611</v>
      </c>
      <c r="T13" s="451" t="e">
        <f t="shared" si="0"/>
        <v>#DIV/0!</v>
      </c>
      <c r="U13" s="451" t="e">
        <f t="shared" si="0"/>
        <v>#DIV/0!</v>
      </c>
      <c r="V13" s="451">
        <f t="shared" si="0"/>
        <v>0.43333333333333318</v>
      </c>
      <c r="W13" s="451" t="e">
        <f t="shared" si="0"/>
        <v>#DIV/0!</v>
      </c>
      <c r="X13" s="451" t="e">
        <f t="shared" si="0"/>
        <v>#DIV/0!</v>
      </c>
      <c r="Y13" s="452">
        <f t="shared" si="0"/>
        <v>0.70000000000000007</v>
      </c>
      <c r="Z13" s="453"/>
      <c r="AA13" s="434"/>
      <c r="AB13" s="434"/>
    </row>
    <row r="14" spans="1:28" ht="14.4" thickBot="1" x14ac:dyDescent="0.3">
      <c r="A14" s="466"/>
      <c r="B14" s="428"/>
      <c r="C14" s="454"/>
      <c r="D14" s="455">
        <f>STDEV(D4:D12)/SQRT(COUNT(D4:D12))</f>
        <v>0</v>
      </c>
      <c r="E14" s="455">
        <f t="shared" ref="E14:Y14" si="1">STDEV(E4:E12)/SQRT(COUNT(E4:E12))</f>
        <v>0.1598610507770907</v>
      </c>
      <c r="F14" s="455" t="e">
        <f t="shared" si="1"/>
        <v>#DIV/0!</v>
      </c>
      <c r="G14" s="455" t="e">
        <f t="shared" si="1"/>
        <v>#DIV/0!</v>
      </c>
      <c r="H14" s="455">
        <f t="shared" si="1"/>
        <v>0.22173557826083432</v>
      </c>
      <c r="I14" s="455" t="e">
        <f t="shared" si="1"/>
        <v>#DIV/0!</v>
      </c>
      <c r="J14" s="455">
        <f t="shared" si="1"/>
        <v>0.34156502553198648</v>
      </c>
      <c r="K14" s="455" t="e">
        <f t="shared" si="1"/>
        <v>#DIV/0!</v>
      </c>
      <c r="L14" s="455">
        <f t="shared" si="1"/>
        <v>0.39791121287711068</v>
      </c>
      <c r="M14" s="455" t="e">
        <f t="shared" si="1"/>
        <v>#DIV/0!</v>
      </c>
      <c r="N14" s="455" t="e">
        <f t="shared" si="1"/>
        <v>#DIV/0!</v>
      </c>
      <c r="O14" s="455">
        <f t="shared" si="1"/>
        <v>0.35590260840104371</v>
      </c>
      <c r="P14" s="455" t="e">
        <f t="shared" si="1"/>
        <v>#DIV/0!</v>
      </c>
      <c r="Q14" s="455">
        <f t="shared" si="1"/>
        <v>0.33421180539322309</v>
      </c>
      <c r="R14" s="455" t="e">
        <f t="shared" si="1"/>
        <v>#DIV/0!</v>
      </c>
      <c r="S14" s="455">
        <f t="shared" si="1"/>
        <v>0.3395258131243894</v>
      </c>
      <c r="T14" s="455" t="e">
        <f t="shared" si="1"/>
        <v>#DIV/0!</v>
      </c>
      <c r="U14" s="455" t="e">
        <f t="shared" si="1"/>
        <v>#DIV/0!</v>
      </c>
      <c r="V14" s="455">
        <f t="shared" si="1"/>
        <v>0.37932688922470148</v>
      </c>
      <c r="W14" s="455" t="e">
        <f t="shared" si="1"/>
        <v>#DIV/0!</v>
      </c>
      <c r="X14" s="455" t="e">
        <f t="shared" si="1"/>
        <v>#DIV/0!</v>
      </c>
      <c r="Y14" s="456">
        <f t="shared" si="1"/>
        <v>0.39546035059015572</v>
      </c>
      <c r="Z14" s="453"/>
      <c r="AA14" s="434"/>
      <c r="AB14" s="434"/>
    </row>
    <row r="15" spans="1:28" ht="13.8" x14ac:dyDescent="0.25">
      <c r="A15" s="196"/>
      <c r="S15" s="432"/>
      <c r="T15" s="432"/>
      <c r="U15" s="432"/>
      <c r="V15" s="432"/>
      <c r="W15" s="432"/>
      <c r="X15" s="432"/>
      <c r="Y15" s="432"/>
      <c r="Z15" s="433"/>
      <c r="AA15" s="434"/>
      <c r="AB15" s="434"/>
    </row>
    <row r="16" spans="1:28" ht="14.4" thickBot="1" x14ac:dyDescent="0.3">
      <c r="A16" s="196"/>
      <c r="B16" s="428"/>
      <c r="C16" s="309"/>
      <c r="D16" s="429"/>
      <c r="E16" s="429"/>
      <c r="F16" s="430"/>
      <c r="G16" s="430"/>
      <c r="H16" s="430"/>
      <c r="I16" s="430"/>
      <c r="J16" s="430"/>
      <c r="K16" s="430"/>
      <c r="L16" s="431"/>
      <c r="M16" s="431"/>
      <c r="N16" s="431"/>
      <c r="O16" s="431"/>
      <c r="P16" s="431"/>
      <c r="Q16" s="431"/>
      <c r="R16" s="431"/>
      <c r="S16" s="431"/>
      <c r="T16" s="431"/>
      <c r="U16" s="431"/>
      <c r="V16" s="431"/>
      <c r="W16" s="431"/>
      <c r="X16" s="431"/>
      <c r="Y16" s="431"/>
      <c r="Z16" s="436"/>
      <c r="AA16" s="434"/>
      <c r="AB16" s="434"/>
    </row>
    <row r="17" spans="1:28" ht="14.4" thickBot="1" x14ac:dyDescent="0.3">
      <c r="A17" s="465" t="s">
        <v>1</v>
      </c>
      <c r="B17" s="323"/>
      <c r="C17" s="323"/>
      <c r="D17" s="432">
        <v>43664</v>
      </c>
      <c r="E17" s="432">
        <v>43665</v>
      </c>
      <c r="F17" s="432">
        <v>43666</v>
      </c>
      <c r="G17" s="432">
        <v>43667</v>
      </c>
      <c r="H17" s="432">
        <v>43668</v>
      </c>
      <c r="I17" s="432">
        <v>43669</v>
      </c>
      <c r="J17" s="432">
        <v>43670</v>
      </c>
      <c r="K17" s="432">
        <v>43671</v>
      </c>
      <c r="L17" s="432">
        <v>43672</v>
      </c>
      <c r="M17" s="432">
        <v>43673</v>
      </c>
      <c r="N17" s="432">
        <v>43674</v>
      </c>
      <c r="O17" s="432">
        <v>43675</v>
      </c>
      <c r="P17" s="432">
        <v>43676</v>
      </c>
      <c r="Q17" s="432">
        <v>43677</v>
      </c>
      <c r="R17" s="432">
        <v>43678</v>
      </c>
      <c r="S17" s="432">
        <v>43679</v>
      </c>
      <c r="T17" s="432">
        <v>43680</v>
      </c>
      <c r="U17" s="432">
        <v>43681</v>
      </c>
      <c r="V17" s="432">
        <v>43682</v>
      </c>
      <c r="W17" s="432">
        <v>43683</v>
      </c>
      <c r="X17" s="432">
        <v>43684</v>
      </c>
      <c r="Y17" s="432">
        <v>43685</v>
      </c>
      <c r="Z17" s="457"/>
      <c r="AA17" s="434"/>
      <c r="AB17" s="434"/>
    </row>
    <row r="18" spans="1:28" ht="14.4" thickBot="1" x14ac:dyDescent="0.3">
      <c r="A18" s="467" t="s">
        <v>183</v>
      </c>
      <c r="B18" s="481" t="s">
        <v>188</v>
      </c>
      <c r="C18" s="477" t="s">
        <v>189</v>
      </c>
      <c r="D18" s="495" t="s">
        <v>60</v>
      </c>
      <c r="E18" s="496" t="s">
        <v>61</v>
      </c>
      <c r="F18" s="496" t="s">
        <v>62</v>
      </c>
      <c r="G18" s="496" t="s">
        <v>63</v>
      </c>
      <c r="H18" s="496" t="s">
        <v>64</v>
      </c>
      <c r="I18" s="496" t="s">
        <v>65</v>
      </c>
      <c r="J18" s="496" t="s">
        <v>66</v>
      </c>
      <c r="K18" s="496" t="s">
        <v>67</v>
      </c>
      <c r="L18" s="496" t="s">
        <v>68</v>
      </c>
      <c r="M18" s="496" t="s">
        <v>69</v>
      </c>
      <c r="N18" s="496" t="s">
        <v>70</v>
      </c>
      <c r="O18" s="496" t="s">
        <v>179</v>
      </c>
      <c r="P18" s="496" t="s">
        <v>180</v>
      </c>
      <c r="Q18" s="496" t="s">
        <v>181</v>
      </c>
      <c r="R18" s="497" t="s">
        <v>74</v>
      </c>
      <c r="S18" s="497" t="s">
        <v>75</v>
      </c>
      <c r="T18" s="497" t="s">
        <v>76</v>
      </c>
      <c r="U18" s="497" t="s">
        <v>77</v>
      </c>
      <c r="V18" s="497" t="s">
        <v>78</v>
      </c>
      <c r="W18" s="497" t="s">
        <v>79</v>
      </c>
      <c r="X18" s="497" t="s">
        <v>80</v>
      </c>
      <c r="Y18" s="498" t="s">
        <v>81</v>
      </c>
      <c r="Z18" s="443"/>
      <c r="AA18" s="434"/>
      <c r="AB18" s="434"/>
    </row>
    <row r="19" spans="1:28" ht="13.8" x14ac:dyDescent="0.25">
      <c r="A19" s="439">
        <v>3543</v>
      </c>
      <c r="B19" s="473" t="s">
        <v>186</v>
      </c>
      <c r="C19" s="440" t="s">
        <v>83</v>
      </c>
      <c r="D19" s="441">
        <f>[5]Weights!D21-[5]Weights!$D21</f>
        <v>0</v>
      </c>
      <c r="E19" s="442">
        <f>[5]Weights!E21-[5]Weights!$D21</f>
        <v>-1.5</v>
      </c>
      <c r="F19" s="442"/>
      <c r="G19" s="442"/>
      <c r="H19" s="442">
        <f>[5]Weights!H21-[5]Weights!$D21</f>
        <v>-2.1999999999999993</v>
      </c>
      <c r="I19" s="442"/>
      <c r="J19" s="442">
        <f>[5]Weights!J21-[5]Weights!$D21</f>
        <v>-2.8000000000000007</v>
      </c>
      <c r="K19" s="442"/>
      <c r="L19" s="442">
        <f>[5]Weights!L21-[5]Weights!$D21</f>
        <v>-2.6000000000000014</v>
      </c>
      <c r="M19" s="442"/>
      <c r="N19" s="442"/>
      <c r="O19" s="442">
        <f>[5]Weights!O21-[5]Weights!$D21</f>
        <v>-3</v>
      </c>
      <c r="P19" s="442"/>
      <c r="Q19" s="442">
        <f>[5]Weights!Q21-[5]Weights!$D21</f>
        <v>-4</v>
      </c>
      <c r="R19" s="442"/>
      <c r="S19" s="442">
        <f>[5]Weights!S21-[5]Weights!$D21</f>
        <v>-3.9000000000000004</v>
      </c>
      <c r="T19" s="442"/>
      <c r="U19" s="442"/>
      <c r="V19" s="442">
        <f>[5]Weights!V21-[5]Weights!$D21</f>
        <v>-3.9000000000000004</v>
      </c>
      <c r="W19" s="442"/>
      <c r="X19" s="442"/>
      <c r="Y19" s="486">
        <f>[5]Weights!Y21-[5]Weights!$D21</f>
        <v>-3.5</v>
      </c>
      <c r="Z19" s="443"/>
      <c r="AA19" s="434"/>
      <c r="AB19" s="434"/>
    </row>
    <row r="20" spans="1:28" ht="13.8" x14ac:dyDescent="0.25">
      <c r="A20" s="444">
        <v>3541</v>
      </c>
      <c r="B20" s="474" t="s">
        <v>186</v>
      </c>
      <c r="C20" s="445" t="s">
        <v>83</v>
      </c>
      <c r="D20" s="446">
        <f>[5]Weights!D22-[5]Weights!$D22</f>
        <v>0</v>
      </c>
      <c r="E20" s="447">
        <f>[5]Weights!E22-[5]Weights!$D22</f>
        <v>-0.5</v>
      </c>
      <c r="F20" s="447"/>
      <c r="G20" s="447"/>
      <c r="H20" s="447">
        <f>[5]Weights!H22-[5]Weights!$D22</f>
        <v>-0.5</v>
      </c>
      <c r="I20" s="447"/>
      <c r="J20" s="447">
        <f>[5]Weights!J22-[5]Weights!$D22</f>
        <v>-0.5</v>
      </c>
      <c r="K20" s="447"/>
      <c r="L20" s="447">
        <f>[5]Weights!L22-[5]Weights!$D22</f>
        <v>-0.69999999999999929</v>
      </c>
      <c r="M20" s="447"/>
      <c r="N20" s="447"/>
      <c r="O20" s="447">
        <f>[5]Weights!O22-[5]Weights!$D22</f>
        <v>0</v>
      </c>
      <c r="P20" s="447"/>
      <c r="Q20" s="447">
        <f>[5]Weights!Q22-[5]Weights!$D22</f>
        <v>0.19999999999999929</v>
      </c>
      <c r="R20" s="447"/>
      <c r="S20" s="447">
        <f>[5]Weights!S22-[5]Weights!$D22</f>
        <v>0.5</v>
      </c>
      <c r="T20" s="447"/>
      <c r="U20" s="447"/>
      <c r="V20" s="447">
        <f>[5]Weights!V22-[5]Weights!$D22</f>
        <v>0</v>
      </c>
      <c r="W20" s="447"/>
      <c r="X20" s="447"/>
      <c r="Y20" s="487">
        <f>[5]Weights!Y22-[5]Weights!$D22</f>
        <v>1</v>
      </c>
      <c r="Z20" s="443"/>
      <c r="AA20" s="434"/>
      <c r="AB20" s="434"/>
    </row>
    <row r="21" spans="1:28" ht="13.8" x14ac:dyDescent="0.25">
      <c r="A21" s="444">
        <v>3548</v>
      </c>
      <c r="B21" s="474" t="s">
        <v>186</v>
      </c>
      <c r="C21" s="445" t="s">
        <v>83</v>
      </c>
      <c r="D21" s="446">
        <f>[5]Weights!D23-[5]Weights!$D23</f>
        <v>0</v>
      </c>
      <c r="E21" s="447">
        <f>[5]Weights!E23-[5]Weights!$D23</f>
        <v>-1.6000000000000014</v>
      </c>
      <c r="F21" s="447"/>
      <c r="G21" s="447"/>
      <c r="H21" s="447">
        <f>[5]Weights!H23-[5]Weights!$D23</f>
        <v>-1.1999999999999993</v>
      </c>
      <c r="I21" s="447"/>
      <c r="J21" s="447">
        <f>[5]Weights!J23-[5]Weights!$D23</f>
        <v>-1.6999999999999993</v>
      </c>
      <c r="K21" s="447"/>
      <c r="L21" s="447">
        <f>[5]Weights!L23-[5]Weights!$D23</f>
        <v>-1.5</v>
      </c>
      <c r="M21" s="447"/>
      <c r="N21" s="447"/>
      <c r="O21" s="447">
        <f>[5]Weights!O23-[5]Weights!$D23</f>
        <v>-0.5</v>
      </c>
      <c r="P21" s="447"/>
      <c r="Q21" s="447">
        <f>[5]Weights!Q23-[5]Weights!$D23</f>
        <v>-0.19999999999999929</v>
      </c>
      <c r="R21" s="447"/>
      <c r="S21" s="447">
        <f>[5]Weights!S23-[5]Weights!$D23</f>
        <v>-0.39999999999999858</v>
      </c>
      <c r="T21" s="447"/>
      <c r="U21" s="447"/>
      <c r="V21" s="447">
        <f>[5]Weights!V23-[5]Weights!$D23</f>
        <v>0.30000000000000071</v>
      </c>
      <c r="W21" s="447"/>
      <c r="X21" s="447"/>
      <c r="Y21" s="487">
        <f>[5]Weights!Y23-[5]Weights!$D23</f>
        <v>0.69999999999999929</v>
      </c>
      <c r="Z21" s="443"/>
      <c r="AA21" s="434"/>
      <c r="AB21" s="434"/>
    </row>
    <row r="22" spans="1:28" ht="13.8" x14ac:dyDescent="0.25">
      <c r="A22" s="444">
        <v>3510</v>
      </c>
      <c r="B22" s="474" t="s">
        <v>186</v>
      </c>
      <c r="C22" s="445" t="s">
        <v>82</v>
      </c>
      <c r="D22" s="446">
        <f>[5]Weights!D24-[5]Weights!$D24</f>
        <v>0</v>
      </c>
      <c r="E22" s="447">
        <f>[5]Weights!E24-[5]Weights!$D24</f>
        <v>-0.79999999999999716</v>
      </c>
      <c r="F22" s="447"/>
      <c r="G22" s="447"/>
      <c r="H22" s="447">
        <f>[5]Weights!H24-[5]Weights!$D24</f>
        <v>-2.2999999999999972</v>
      </c>
      <c r="I22" s="447"/>
      <c r="J22" s="447">
        <f>[5]Weights!J24-[5]Weights!$D24</f>
        <v>-2.8999999999999986</v>
      </c>
      <c r="K22" s="447"/>
      <c r="L22" s="447">
        <f>[5]Weights!L24-[5]Weights!$D24</f>
        <v>-3.6999999999999993</v>
      </c>
      <c r="M22" s="447"/>
      <c r="N22" s="447"/>
      <c r="O22" s="447">
        <f>[5]Weights!O24-[5]Weights!$D24</f>
        <v>-3.1999999999999993</v>
      </c>
      <c r="P22" s="447"/>
      <c r="Q22" s="447">
        <f>[5]Weights!Q24-[5]Weights!$D24</f>
        <v>-2.8999999999999986</v>
      </c>
      <c r="R22" s="447"/>
      <c r="S22" s="447">
        <f>[5]Weights!S24-[5]Weights!$D24</f>
        <v>-3.7999999999999989</v>
      </c>
      <c r="T22" s="447"/>
      <c r="U22" s="447"/>
      <c r="V22" s="447">
        <f>[5]Weights!V24-[5]Weights!$D24</f>
        <v>-3.5999999999999979</v>
      </c>
      <c r="W22" s="447"/>
      <c r="X22" s="447"/>
      <c r="Y22" s="487">
        <f>[5]Weights!Y24-[5]Weights!$D24</f>
        <v>-2.5</v>
      </c>
      <c r="Z22" s="443"/>
      <c r="AA22" s="434"/>
      <c r="AB22" s="434"/>
    </row>
    <row r="23" spans="1:28" ht="13.8" x14ac:dyDescent="0.25">
      <c r="A23" s="444">
        <v>3512</v>
      </c>
      <c r="B23" s="474" t="s">
        <v>186</v>
      </c>
      <c r="C23" s="445" t="s">
        <v>82</v>
      </c>
      <c r="D23" s="446">
        <f>[5]Weights!D25-[5]Weights!$D25</f>
        <v>0</v>
      </c>
      <c r="E23" s="447">
        <f>[5]Weights!E25-[5]Weights!$D25</f>
        <v>-0.80000000000000071</v>
      </c>
      <c r="F23" s="447"/>
      <c r="G23" s="447"/>
      <c r="H23" s="447">
        <f>[5]Weights!H25-[5]Weights!$D25</f>
        <v>-1.5</v>
      </c>
      <c r="I23" s="447"/>
      <c r="J23" s="447">
        <f>[5]Weights!J25-[5]Weights!$D25</f>
        <v>-1.6999999999999993</v>
      </c>
      <c r="K23" s="447"/>
      <c r="L23" s="447">
        <f>[5]Weights!L25-[5]Weights!$D25</f>
        <v>-2.1999999999999993</v>
      </c>
      <c r="M23" s="447"/>
      <c r="N23" s="447"/>
      <c r="O23" s="447">
        <f>[5]Weights!O25-[5]Weights!$D25</f>
        <v>-1.6999999999999993</v>
      </c>
      <c r="P23" s="447"/>
      <c r="Q23" s="447">
        <f>[5]Weights!Q25-[5]Weights!$D25</f>
        <v>-1.3000000000000007</v>
      </c>
      <c r="R23" s="447"/>
      <c r="S23" s="447">
        <f>[5]Weights!S25-[5]Weights!$D25</f>
        <v>-1</v>
      </c>
      <c r="T23" s="447"/>
      <c r="U23" s="447"/>
      <c r="V23" s="447">
        <f>[5]Weights!V25-[5]Weights!$D25</f>
        <v>-0.89999999999999858</v>
      </c>
      <c r="W23" s="447"/>
      <c r="X23" s="447"/>
      <c r="Y23" s="487">
        <f>[5]Weights!Y25-[5]Weights!$D25</f>
        <v>-0.39999999999999858</v>
      </c>
      <c r="Z23" s="458"/>
      <c r="AA23" s="434"/>
      <c r="AB23" s="434"/>
    </row>
    <row r="24" spans="1:28" ht="13.8" x14ac:dyDescent="0.25">
      <c r="A24" s="444">
        <v>3540</v>
      </c>
      <c r="B24" s="474" t="s">
        <v>186</v>
      </c>
      <c r="C24" s="445" t="s">
        <v>83</v>
      </c>
      <c r="D24" s="446">
        <f>[5]Weights!D26-[5]Weights!$D26</f>
        <v>0</v>
      </c>
      <c r="E24" s="447">
        <f>[5]Weights!E26-[5]Weights!$D26</f>
        <v>-2</v>
      </c>
      <c r="F24" s="447"/>
      <c r="G24" s="447"/>
      <c r="H24" s="447">
        <f>[5]Weights!H26-[5]Weights!$D26</f>
        <v>-3.8000000000000007</v>
      </c>
      <c r="I24" s="447"/>
      <c r="J24" s="447">
        <f>[5]Weights!J26-[5]Weights!$D26</f>
        <v>-5.5</v>
      </c>
      <c r="K24" s="447"/>
      <c r="L24" s="447">
        <f>[5]Weights!L26-[5]Weights!$D26</f>
        <v>-6.9</v>
      </c>
      <c r="M24" s="447"/>
      <c r="N24" s="447"/>
      <c r="O24" s="493">
        <f>[5]Weights!O26-[5]Weights!$D26</f>
        <v>-7.5</v>
      </c>
      <c r="P24" s="447"/>
      <c r="Q24" s="493">
        <f>[5]Weights!Q26-[5]Weights!$D26</f>
        <v>-7.5</v>
      </c>
      <c r="R24" s="447"/>
      <c r="S24" s="493">
        <f>[5]Weights!S26-[5]Weights!$D26</f>
        <v>-7.5</v>
      </c>
      <c r="T24" s="447"/>
      <c r="U24" s="447"/>
      <c r="V24" s="493">
        <f>[5]Weights!V26-[5]Weights!$D26</f>
        <v>-7.5</v>
      </c>
      <c r="W24" s="447"/>
      <c r="X24" s="447"/>
      <c r="Y24" s="494">
        <f>[5]Weights!Y26-[5]Weights!$D26</f>
        <v>-7.5</v>
      </c>
      <c r="Z24" s="458"/>
      <c r="AA24" s="434"/>
      <c r="AB24" s="434"/>
    </row>
    <row r="25" spans="1:28" ht="13.8" x14ac:dyDescent="0.25">
      <c r="A25" s="444">
        <v>3542</v>
      </c>
      <c r="B25" s="474" t="s">
        <v>186</v>
      </c>
      <c r="C25" s="445" t="s">
        <v>83</v>
      </c>
      <c r="D25" s="446">
        <f>[5]Weights!D27-[5]Weights!$D27</f>
        <v>0</v>
      </c>
      <c r="E25" s="447">
        <f>[5]Weights!E27-[5]Weights!$D27</f>
        <v>-0.60000000000000142</v>
      </c>
      <c r="F25" s="447"/>
      <c r="G25" s="447"/>
      <c r="H25" s="447">
        <f>[5]Weights!H27-[5]Weights!$D27</f>
        <v>-1</v>
      </c>
      <c r="I25" s="447"/>
      <c r="J25" s="447">
        <f>[5]Weights!J27-[5]Weights!$D27</f>
        <v>-1.4000000000000021</v>
      </c>
      <c r="K25" s="447"/>
      <c r="L25" s="447">
        <f>[5]Weights!L27-[5]Weights!$D27</f>
        <v>-2.2000000000000028</v>
      </c>
      <c r="M25" s="447"/>
      <c r="N25" s="447"/>
      <c r="O25" s="447">
        <f>[5]Weights!O27-[5]Weights!$D27</f>
        <v>-1.2000000000000028</v>
      </c>
      <c r="P25" s="447"/>
      <c r="Q25" s="447">
        <f>[5]Weights!Q27-[5]Weights!$D27</f>
        <v>-1</v>
      </c>
      <c r="R25" s="447"/>
      <c r="S25" s="447">
        <f>[5]Weights!S27-[5]Weights!$D27</f>
        <v>-0.70000000000000284</v>
      </c>
      <c r="T25" s="447"/>
      <c r="U25" s="447"/>
      <c r="V25" s="447">
        <f>[5]Weights!V27-[5]Weights!$D27</f>
        <v>-0.30000000000000071</v>
      </c>
      <c r="W25" s="447"/>
      <c r="X25" s="447"/>
      <c r="Y25" s="487">
        <f>[5]Weights!Y27-[5]Weights!$D27</f>
        <v>9.9999999999997868E-2</v>
      </c>
      <c r="Z25" s="434"/>
      <c r="AA25" s="434"/>
      <c r="AB25" s="434"/>
    </row>
    <row r="26" spans="1:28" ht="13.8" x14ac:dyDescent="0.25">
      <c r="A26" s="444">
        <v>3408</v>
      </c>
      <c r="B26" s="474" t="s">
        <v>186</v>
      </c>
      <c r="C26" s="445" t="s">
        <v>82</v>
      </c>
      <c r="D26" s="446">
        <f>[5]Weights!D28-[5]Weights!$D28</f>
        <v>0</v>
      </c>
      <c r="E26" s="447">
        <f>[5]Weights!E28-[5]Weights!$D28</f>
        <v>-1.1999999999999993</v>
      </c>
      <c r="F26" s="447"/>
      <c r="G26" s="447"/>
      <c r="H26" s="447">
        <f>[5]Weights!H28-[5]Weights!$D28</f>
        <v>-1.8999999999999986</v>
      </c>
      <c r="I26" s="447"/>
      <c r="J26" s="447">
        <f>[5]Weights!J28-[5]Weights!$D28</f>
        <v>-1.5</v>
      </c>
      <c r="K26" s="447"/>
      <c r="L26" s="447">
        <f>[5]Weights!L28-[5]Weights!$D28</f>
        <v>-1.8000000000000007</v>
      </c>
      <c r="M26" s="447"/>
      <c r="N26" s="447"/>
      <c r="O26" s="447">
        <f>[5]Weights!O28-[5]Weights!$D28</f>
        <v>-1.6000000000000014</v>
      </c>
      <c r="P26" s="447"/>
      <c r="Q26" s="447">
        <f>[5]Weights!Q28-[5]Weights!$D28</f>
        <v>-0.30000000000000071</v>
      </c>
      <c r="R26" s="447"/>
      <c r="S26" s="447">
        <f>[5]Weights!S28-[5]Weights!$D28</f>
        <v>0.39999999999999858</v>
      </c>
      <c r="T26" s="447"/>
      <c r="U26" s="447"/>
      <c r="V26" s="447">
        <f>[5]Weights!V28-[5]Weights!$D28</f>
        <v>0.5</v>
      </c>
      <c r="W26" s="447"/>
      <c r="X26" s="447"/>
      <c r="Y26" s="487">
        <f>[5]Weights!Y28-[5]Weights!$D28</f>
        <v>1.5</v>
      </c>
      <c r="Z26" s="434"/>
      <c r="AA26" s="434"/>
      <c r="AB26" s="434"/>
    </row>
    <row r="27" spans="1:28" ht="14.4" thickBot="1" x14ac:dyDescent="0.3">
      <c r="A27" s="448">
        <v>3547</v>
      </c>
      <c r="B27" s="475" t="s">
        <v>186</v>
      </c>
      <c r="C27" s="449" t="s">
        <v>83</v>
      </c>
      <c r="D27" s="488">
        <f>[5]Weights!D29-[5]Weights!$D29</f>
        <v>0</v>
      </c>
      <c r="E27" s="489">
        <f>[5]Weights!E29-[5]Weights!$D29</f>
        <v>0</v>
      </c>
      <c r="F27" s="489"/>
      <c r="G27" s="489"/>
      <c r="H27" s="489">
        <f>[5]Weights!H29-[5]Weights!$D29</f>
        <v>-0.10000000000000142</v>
      </c>
      <c r="I27" s="489"/>
      <c r="J27" s="489">
        <f>[5]Weights!J29-[5]Weights!$D29</f>
        <v>-0.69999999999999929</v>
      </c>
      <c r="K27" s="489"/>
      <c r="L27" s="489">
        <f>[5]Weights!L29-[5]Weights!$D29</f>
        <v>-1.6000000000000014</v>
      </c>
      <c r="M27" s="489"/>
      <c r="N27" s="489"/>
      <c r="O27" s="489">
        <f>[5]Weights!O29-[5]Weights!$D29</f>
        <v>-1.9000000000000021</v>
      </c>
      <c r="P27" s="489"/>
      <c r="Q27" s="489">
        <f>[5]Weights!Q29-[5]Weights!$D29</f>
        <v>-2.3000000000000007</v>
      </c>
      <c r="R27" s="489"/>
      <c r="S27" s="489">
        <f>[5]Weights!S29-[5]Weights!$D29</f>
        <v>-3.9000000000000004</v>
      </c>
      <c r="T27" s="489"/>
      <c r="U27" s="489"/>
      <c r="V27" s="489">
        <f>[5]Weights!V29-[5]Weights!$D29</f>
        <v>-3.5</v>
      </c>
      <c r="W27" s="489"/>
      <c r="X27" s="489"/>
      <c r="Y27" s="490">
        <f>[5]Weights!Y29-[5]Weights!$D29</f>
        <v>-2</v>
      </c>
      <c r="Z27" s="433"/>
      <c r="AA27" s="434"/>
      <c r="AB27" s="434"/>
    </row>
    <row r="28" spans="1:28" ht="13.8" x14ac:dyDescent="0.25">
      <c r="A28" s="309"/>
      <c r="B28" s="428"/>
      <c r="C28" s="450"/>
      <c r="D28" s="491">
        <f>AVERAGE(D19:D27)</f>
        <v>0</v>
      </c>
      <c r="E28" s="491">
        <f t="shared" ref="E28:Y28" si="2">AVERAGE(E19:E27)</f>
        <v>-1</v>
      </c>
      <c r="F28" s="491" t="e">
        <f t="shared" si="2"/>
        <v>#DIV/0!</v>
      </c>
      <c r="G28" s="491" t="e">
        <f t="shared" si="2"/>
        <v>#DIV/0!</v>
      </c>
      <c r="H28" s="491">
        <f t="shared" si="2"/>
        <v>-1.6111111111111107</v>
      </c>
      <c r="I28" s="491" t="e">
        <f t="shared" si="2"/>
        <v>#DIV/0!</v>
      </c>
      <c r="J28" s="491">
        <f t="shared" si="2"/>
        <v>-2.0777777777777775</v>
      </c>
      <c r="K28" s="491" t="e">
        <f t="shared" si="2"/>
        <v>#DIV/0!</v>
      </c>
      <c r="L28" s="491">
        <f t="shared" si="2"/>
        <v>-2.5777777777777784</v>
      </c>
      <c r="M28" s="491" t="e">
        <f t="shared" si="2"/>
        <v>#DIV/0!</v>
      </c>
      <c r="N28" s="491" t="e">
        <f t="shared" si="2"/>
        <v>#DIV/0!</v>
      </c>
      <c r="O28" s="491">
        <f t="shared" si="2"/>
        <v>-2.2888888888888896</v>
      </c>
      <c r="P28" s="491" t="e">
        <f t="shared" si="2"/>
        <v>#DIV/0!</v>
      </c>
      <c r="Q28" s="491">
        <f t="shared" si="2"/>
        <v>-2.1444444444444444</v>
      </c>
      <c r="R28" s="491" t="e">
        <f t="shared" si="2"/>
        <v>#DIV/0!</v>
      </c>
      <c r="S28" s="491">
        <f t="shared" si="2"/>
        <v>-2.255555555555556</v>
      </c>
      <c r="T28" s="491" t="e">
        <f t="shared" si="2"/>
        <v>#DIV/0!</v>
      </c>
      <c r="U28" s="491" t="e">
        <f t="shared" si="2"/>
        <v>#DIV/0!</v>
      </c>
      <c r="V28" s="491">
        <f t="shared" si="2"/>
        <v>-2.0999999999999996</v>
      </c>
      <c r="W28" s="491" t="e">
        <f t="shared" si="2"/>
        <v>#DIV/0!</v>
      </c>
      <c r="X28" s="491" t="e">
        <f t="shared" si="2"/>
        <v>#DIV/0!</v>
      </c>
      <c r="Y28" s="492">
        <f t="shared" si="2"/>
        <v>-1.4000000000000001</v>
      </c>
      <c r="Z28" s="459"/>
      <c r="AA28" s="434"/>
      <c r="AB28" s="434"/>
    </row>
    <row r="29" spans="1:28" ht="14.4" thickBot="1" x14ac:dyDescent="0.3">
      <c r="A29" s="466"/>
      <c r="B29" s="428"/>
      <c r="C29" s="454"/>
      <c r="D29" s="455">
        <f>STDEV(D19:D27)/SQRT(COUNT(D19:D27))</f>
        <v>0</v>
      </c>
      <c r="E29" s="455">
        <f t="shared" ref="E29:Y29" si="3">STDEV(E19:E27)/SQRT(COUNT(E19:E27))</f>
        <v>0.20883273476902775</v>
      </c>
      <c r="F29" s="455" t="e">
        <f t="shared" si="3"/>
        <v>#DIV/0!</v>
      </c>
      <c r="G29" s="455" t="e">
        <f t="shared" si="3"/>
        <v>#DIV/0!</v>
      </c>
      <c r="H29" s="455">
        <f t="shared" si="3"/>
        <v>0.36834632120557265</v>
      </c>
      <c r="I29" s="455" t="e">
        <f t="shared" si="3"/>
        <v>#DIV/0!</v>
      </c>
      <c r="J29" s="455">
        <f t="shared" si="3"/>
        <v>0.50518912239152181</v>
      </c>
      <c r="K29" s="455" t="e">
        <f t="shared" si="3"/>
        <v>#DIV/0!</v>
      </c>
      <c r="L29" s="455">
        <f t="shared" si="3"/>
        <v>0.60639595099465826</v>
      </c>
      <c r="M29" s="455" t="e">
        <f t="shared" si="3"/>
        <v>#DIV/0!</v>
      </c>
      <c r="N29" s="455" t="e">
        <f t="shared" si="3"/>
        <v>#DIV/0!</v>
      </c>
      <c r="O29" s="455">
        <f t="shared" si="3"/>
        <v>0.73681831856157132</v>
      </c>
      <c r="P29" s="455" t="e">
        <f t="shared" si="3"/>
        <v>#DIV/0!</v>
      </c>
      <c r="Q29" s="455">
        <f t="shared" si="3"/>
        <v>0.81156760365889546</v>
      </c>
      <c r="R29" s="455" t="e">
        <f t="shared" si="3"/>
        <v>#DIV/0!</v>
      </c>
      <c r="S29" s="455">
        <f t="shared" si="3"/>
        <v>0.89273473587733509</v>
      </c>
      <c r="T29" s="455" t="e">
        <f t="shared" si="3"/>
        <v>#DIV/0!</v>
      </c>
      <c r="U29" s="455" t="e">
        <f t="shared" si="3"/>
        <v>#DIV/0!</v>
      </c>
      <c r="V29" s="455">
        <f t="shared" si="3"/>
        <v>0.89922806401441413</v>
      </c>
      <c r="W29" s="455" t="e">
        <f t="shared" si="3"/>
        <v>#DIV/0!</v>
      </c>
      <c r="X29" s="455" t="e">
        <f t="shared" si="3"/>
        <v>#DIV/0!</v>
      </c>
      <c r="Y29" s="456">
        <f t="shared" si="3"/>
        <v>0.9502923526765622</v>
      </c>
      <c r="Z29" s="457"/>
      <c r="AA29" s="434"/>
      <c r="AB29" s="434"/>
    </row>
    <row r="30" spans="1:28" ht="13.8" x14ac:dyDescent="0.25">
      <c r="A30" s="309"/>
      <c r="B30" s="323"/>
      <c r="C30" s="323"/>
      <c r="D30" s="437"/>
      <c r="E30" s="437"/>
      <c r="F30" s="437"/>
      <c r="G30" s="437"/>
      <c r="H30" s="437"/>
      <c r="I30" s="437"/>
      <c r="J30" s="437"/>
      <c r="K30" s="437"/>
      <c r="L30" s="437"/>
      <c r="M30" s="437"/>
      <c r="N30" s="437"/>
      <c r="O30" s="437"/>
      <c r="P30" s="437"/>
      <c r="Q30" s="437"/>
      <c r="R30" s="437"/>
      <c r="S30" s="431"/>
      <c r="T30" s="431"/>
      <c r="U30" s="431"/>
      <c r="V30" s="431"/>
      <c r="W30" s="431"/>
      <c r="X30" s="431"/>
      <c r="Y30" s="431"/>
      <c r="Z30" s="460"/>
      <c r="AA30" s="434"/>
      <c r="AB30" s="434"/>
    </row>
    <row r="31" spans="1:28" ht="14.4" thickBot="1" x14ac:dyDescent="0.3">
      <c r="A31" s="196"/>
      <c r="B31" s="428"/>
      <c r="C31" s="309"/>
      <c r="D31" s="429"/>
      <c r="E31" s="429"/>
      <c r="F31" s="430"/>
      <c r="G31" s="430"/>
      <c r="H31" s="430"/>
      <c r="I31" s="430"/>
      <c r="J31" s="430"/>
      <c r="K31" s="430"/>
      <c r="L31" s="431"/>
      <c r="M31" s="431"/>
      <c r="N31" s="431"/>
      <c r="O31" s="431"/>
      <c r="P31" s="431"/>
      <c r="Q31" s="431"/>
      <c r="R31" s="431"/>
      <c r="S31" s="431"/>
      <c r="T31" s="431"/>
      <c r="U31" s="431"/>
      <c r="V31" s="431"/>
      <c r="W31" s="431"/>
      <c r="X31" s="431"/>
      <c r="Y31" s="431"/>
      <c r="Z31" s="460"/>
      <c r="AA31" s="434"/>
      <c r="AB31" s="434"/>
    </row>
    <row r="32" spans="1:28" ht="14.4" thickBot="1" x14ac:dyDescent="0.3">
      <c r="A32" s="465" t="s">
        <v>1</v>
      </c>
      <c r="B32" s="323"/>
      <c r="C32" s="323"/>
      <c r="D32" s="432">
        <v>43664</v>
      </c>
      <c r="E32" s="432">
        <v>43665</v>
      </c>
      <c r="F32" s="432">
        <v>43666</v>
      </c>
      <c r="G32" s="432">
        <v>43667</v>
      </c>
      <c r="H32" s="432">
        <v>43668</v>
      </c>
      <c r="I32" s="432">
        <v>43669</v>
      </c>
      <c r="J32" s="432">
        <v>43670</v>
      </c>
      <c r="K32" s="432">
        <v>43671</v>
      </c>
      <c r="L32" s="432">
        <v>43672</v>
      </c>
      <c r="M32" s="432">
        <v>43673</v>
      </c>
      <c r="N32" s="432">
        <v>43674</v>
      </c>
      <c r="O32" s="432">
        <v>43675</v>
      </c>
      <c r="P32" s="432">
        <v>43676</v>
      </c>
      <c r="Q32" s="432">
        <v>43677</v>
      </c>
      <c r="R32" s="432">
        <v>43678</v>
      </c>
      <c r="S32" s="432">
        <v>43679</v>
      </c>
      <c r="T32" s="432">
        <v>43680</v>
      </c>
      <c r="U32" s="432">
        <v>43681</v>
      </c>
      <c r="V32" s="432">
        <v>43682</v>
      </c>
      <c r="W32" s="432">
        <v>43683</v>
      </c>
      <c r="X32" s="432">
        <v>43684</v>
      </c>
      <c r="Y32" s="432">
        <v>43685</v>
      </c>
      <c r="Z32" s="460"/>
      <c r="AA32" s="434"/>
      <c r="AB32" s="434"/>
    </row>
    <row r="33" spans="1:28" ht="14.4" thickBot="1" x14ac:dyDescent="0.3">
      <c r="A33" s="467" t="s">
        <v>184</v>
      </c>
      <c r="B33" s="481" t="s">
        <v>188</v>
      </c>
      <c r="C33" s="477" t="s">
        <v>189</v>
      </c>
      <c r="D33" s="482" t="s">
        <v>60</v>
      </c>
      <c r="E33" s="483" t="s">
        <v>61</v>
      </c>
      <c r="F33" s="483" t="s">
        <v>62</v>
      </c>
      <c r="G33" s="483" t="s">
        <v>63</v>
      </c>
      <c r="H33" s="483" t="s">
        <v>64</v>
      </c>
      <c r="I33" s="483" t="s">
        <v>65</v>
      </c>
      <c r="J33" s="483" t="s">
        <v>66</v>
      </c>
      <c r="K33" s="483" t="s">
        <v>67</v>
      </c>
      <c r="L33" s="483" t="s">
        <v>68</v>
      </c>
      <c r="M33" s="483" t="s">
        <v>69</v>
      </c>
      <c r="N33" s="483" t="s">
        <v>70</v>
      </c>
      <c r="O33" s="483" t="s">
        <v>179</v>
      </c>
      <c r="P33" s="483" t="s">
        <v>180</v>
      </c>
      <c r="Q33" s="483" t="s">
        <v>181</v>
      </c>
      <c r="R33" s="484" t="s">
        <v>74</v>
      </c>
      <c r="S33" s="484" t="s">
        <v>75</v>
      </c>
      <c r="T33" s="484" t="s">
        <v>76</v>
      </c>
      <c r="U33" s="484" t="s">
        <v>77</v>
      </c>
      <c r="V33" s="484" t="s">
        <v>78</v>
      </c>
      <c r="W33" s="484" t="s">
        <v>79</v>
      </c>
      <c r="X33" s="484" t="s">
        <v>80</v>
      </c>
      <c r="Y33" s="485" t="s">
        <v>81</v>
      </c>
      <c r="Z33" s="460"/>
      <c r="AA33" s="434"/>
      <c r="AB33" s="434"/>
    </row>
    <row r="34" spans="1:28" ht="13.8" x14ac:dyDescent="0.25">
      <c r="A34" s="468">
        <v>3550</v>
      </c>
      <c r="B34" s="473" t="s">
        <v>190</v>
      </c>
      <c r="C34" s="478" t="s">
        <v>82</v>
      </c>
      <c r="D34" s="441">
        <f>[5]Weights!D37-[5]Weights!$D37</f>
        <v>0</v>
      </c>
      <c r="E34" s="442">
        <f>[5]Weights!E37-[5]Weights!$D37</f>
        <v>-0.19999999999999929</v>
      </c>
      <c r="F34" s="442"/>
      <c r="G34" s="442"/>
      <c r="H34" s="442">
        <f>[5]Weights!H37-[5]Weights!$D37</f>
        <v>-0.80000000000000071</v>
      </c>
      <c r="I34" s="442"/>
      <c r="J34" s="442">
        <f>[5]Weights!J37-[5]Weights!$D37</f>
        <v>-1.3000000000000007</v>
      </c>
      <c r="K34" s="442"/>
      <c r="L34" s="442">
        <f>[5]Weights!L37-[5]Weights!$D37</f>
        <v>-1.5</v>
      </c>
      <c r="M34" s="442"/>
      <c r="N34" s="442"/>
      <c r="O34" s="442">
        <f>[5]Weights!O37-[5]Weights!$D37</f>
        <v>-0.19999999999999929</v>
      </c>
      <c r="P34" s="442"/>
      <c r="Q34" s="442">
        <f>[5]Weights!Q37-[5]Weights!$D37</f>
        <v>-0.69999999999999929</v>
      </c>
      <c r="R34" s="442"/>
      <c r="S34" s="442">
        <f>[5]Weights!S37-[5]Weights!$D37</f>
        <v>-0.5</v>
      </c>
      <c r="T34" s="442"/>
      <c r="U34" s="442"/>
      <c r="V34" s="442">
        <f>[5]Weights!V37-[5]Weights!$D37</f>
        <v>0</v>
      </c>
      <c r="W34" s="442"/>
      <c r="X34" s="442"/>
      <c r="Y34" s="486">
        <f>[5]Weights!Y37-[5]Weights!$D37</f>
        <v>-0.39999999999999858</v>
      </c>
      <c r="Z34" s="460"/>
      <c r="AA34" s="434"/>
      <c r="AB34" s="434"/>
    </row>
    <row r="35" spans="1:28" ht="13.8" x14ac:dyDescent="0.25">
      <c r="A35" s="469">
        <v>3544</v>
      </c>
      <c r="B35" s="474" t="s">
        <v>190</v>
      </c>
      <c r="C35" s="479" t="s">
        <v>83</v>
      </c>
      <c r="D35" s="446">
        <f>[5]Weights!D38-[5]Weights!$D38</f>
        <v>0</v>
      </c>
      <c r="E35" s="447">
        <f>[5]Weights!E38-[5]Weights!$D38</f>
        <v>-1.4000000000000021</v>
      </c>
      <c r="F35" s="447"/>
      <c r="G35" s="447"/>
      <c r="H35" s="447">
        <f>[5]Weights!H38-[5]Weights!$D38</f>
        <v>-2</v>
      </c>
      <c r="I35" s="447"/>
      <c r="J35" s="447">
        <f>[5]Weights!J38-[5]Weights!$D38</f>
        <v>-2.1000000000000014</v>
      </c>
      <c r="K35" s="447"/>
      <c r="L35" s="447">
        <f>[5]Weights!L38-[5]Weights!$D38</f>
        <v>-3.4000000000000021</v>
      </c>
      <c r="M35" s="447"/>
      <c r="N35" s="447"/>
      <c r="O35" s="447">
        <f>[5]Weights!O38-[5]Weights!$D38</f>
        <v>-2.8000000000000007</v>
      </c>
      <c r="P35" s="447"/>
      <c r="Q35" s="447">
        <f>[5]Weights!Q38-[5]Weights!$D38</f>
        <v>-2.9000000000000021</v>
      </c>
      <c r="R35" s="447"/>
      <c r="S35" s="447">
        <f>[5]Weights!S38-[5]Weights!$D38</f>
        <v>-2.6000000000000014</v>
      </c>
      <c r="T35" s="447"/>
      <c r="U35" s="447"/>
      <c r="V35" s="447">
        <f>[5]Weights!V38-[5]Weights!$D38</f>
        <v>-3.1000000000000014</v>
      </c>
      <c r="W35" s="447"/>
      <c r="X35" s="447"/>
      <c r="Y35" s="487">
        <f>[5]Weights!Y38-[5]Weights!$D38</f>
        <v>-2.5</v>
      </c>
      <c r="Z35" s="458"/>
      <c r="AA35" s="434"/>
      <c r="AB35" s="434"/>
    </row>
    <row r="36" spans="1:28" ht="13.8" x14ac:dyDescent="0.25">
      <c r="A36" s="469">
        <v>3545</v>
      </c>
      <c r="B36" s="474" t="s">
        <v>190</v>
      </c>
      <c r="C36" s="479" t="s">
        <v>83</v>
      </c>
      <c r="D36" s="446">
        <f>[5]Weights!D39-[5]Weights!$D39</f>
        <v>0</v>
      </c>
      <c r="E36" s="447">
        <f>[5]Weights!E39-[5]Weights!$D39</f>
        <v>-2.5</v>
      </c>
      <c r="F36" s="447"/>
      <c r="G36" s="447"/>
      <c r="H36" s="447">
        <f>[5]Weights!H39-[5]Weights!$D39</f>
        <v>-0.80000000000000071</v>
      </c>
      <c r="I36" s="447"/>
      <c r="J36" s="447">
        <f>[5]Weights!J39-[5]Weights!$D39</f>
        <v>-0.69999999999999929</v>
      </c>
      <c r="K36" s="447"/>
      <c r="L36" s="447">
        <f>[5]Weights!L39-[5]Weights!$D39</f>
        <v>-1</v>
      </c>
      <c r="M36" s="447"/>
      <c r="N36" s="447"/>
      <c r="O36" s="447">
        <f>[5]Weights!O39-[5]Weights!$D39</f>
        <v>-0.80000000000000071</v>
      </c>
      <c r="P36" s="447"/>
      <c r="Q36" s="447">
        <f>[5]Weights!Q39-[5]Weights!$D39</f>
        <v>-0.60000000000000142</v>
      </c>
      <c r="R36" s="447"/>
      <c r="S36" s="447">
        <f>[5]Weights!S39-[5]Weights!$D39</f>
        <v>0</v>
      </c>
      <c r="T36" s="447"/>
      <c r="U36" s="447"/>
      <c r="V36" s="447">
        <f>[5]Weights!V39-[5]Weights!$D39</f>
        <v>0</v>
      </c>
      <c r="W36" s="447"/>
      <c r="X36" s="447"/>
      <c r="Y36" s="487">
        <f>[5]Weights!Y39-[5]Weights!$D39</f>
        <v>0.10000000000000142</v>
      </c>
      <c r="Z36" s="458"/>
      <c r="AA36" s="434"/>
      <c r="AB36" s="434"/>
    </row>
    <row r="37" spans="1:28" ht="13.8" x14ac:dyDescent="0.25">
      <c r="A37" s="469">
        <v>3285</v>
      </c>
      <c r="B37" s="474" t="s">
        <v>190</v>
      </c>
      <c r="C37" s="479" t="s">
        <v>83</v>
      </c>
      <c r="D37" s="446">
        <f>[5]Weights!D40-[5]Weights!$D40</f>
        <v>0</v>
      </c>
      <c r="E37" s="447">
        <f>[5]Weights!E40-[5]Weights!$D40</f>
        <v>-1.2000000000000028</v>
      </c>
      <c r="F37" s="447"/>
      <c r="G37" s="447"/>
      <c r="H37" s="447">
        <f>[5]Weights!H40-[5]Weights!$D40</f>
        <v>-1</v>
      </c>
      <c r="I37" s="447"/>
      <c r="J37" s="447">
        <f>[5]Weights!J40-[5]Weights!$D40</f>
        <v>-1.4000000000000021</v>
      </c>
      <c r="K37" s="447"/>
      <c r="L37" s="447">
        <f>[5]Weights!L40-[5]Weights!$D40</f>
        <v>-2</v>
      </c>
      <c r="M37" s="447"/>
      <c r="N37" s="447"/>
      <c r="O37" s="447">
        <f>[5]Weights!O40-[5]Weights!$D40</f>
        <v>-1.4000000000000021</v>
      </c>
      <c r="P37" s="447"/>
      <c r="Q37" s="447">
        <f>[5]Weights!Q40-[5]Weights!$D40</f>
        <v>-1.8000000000000007</v>
      </c>
      <c r="R37" s="447"/>
      <c r="S37" s="447">
        <f>[5]Weights!S40-[5]Weights!$D40</f>
        <v>-1.8000000000000007</v>
      </c>
      <c r="T37" s="447"/>
      <c r="U37" s="447"/>
      <c r="V37" s="447">
        <f>[5]Weights!V40-[5]Weights!$D40</f>
        <v>-2.2000000000000028</v>
      </c>
      <c r="W37" s="447"/>
      <c r="X37" s="447"/>
      <c r="Y37" s="487">
        <f>[5]Weights!Y40-[5]Weights!$D40</f>
        <v>-1.8000000000000007</v>
      </c>
      <c r="Z37" s="434"/>
      <c r="AA37" s="434"/>
      <c r="AB37" s="434"/>
    </row>
    <row r="38" spans="1:28" ht="13.8" x14ac:dyDescent="0.25">
      <c r="A38" s="469">
        <v>3283</v>
      </c>
      <c r="B38" s="474" t="s">
        <v>190</v>
      </c>
      <c r="C38" s="479" t="s">
        <v>83</v>
      </c>
      <c r="D38" s="446">
        <f>[5]Weights!D41-[5]Weights!$D41</f>
        <v>0</v>
      </c>
      <c r="E38" s="447">
        <f>[5]Weights!E41-[5]Weights!$D41</f>
        <v>-0.5</v>
      </c>
      <c r="F38" s="447"/>
      <c r="G38" s="447"/>
      <c r="H38" s="447">
        <f>[5]Weights!H41-[5]Weights!$D41</f>
        <v>-0.39999999999999858</v>
      </c>
      <c r="I38" s="447"/>
      <c r="J38" s="447">
        <f>[5]Weights!J41-[5]Weights!$D41</f>
        <v>-1.1999999999999993</v>
      </c>
      <c r="K38" s="447"/>
      <c r="L38" s="447">
        <f>[5]Weights!L41-[5]Weights!$D41</f>
        <v>-2.1999999999999993</v>
      </c>
      <c r="M38" s="447"/>
      <c r="N38" s="447"/>
      <c r="O38" s="447">
        <f>[5]Weights!O41-[5]Weights!$D41</f>
        <v>-1.8999999999999986</v>
      </c>
      <c r="P38" s="447"/>
      <c r="Q38" s="447">
        <f>[5]Weights!Q41-[5]Weights!$D41</f>
        <v>-2.0999999999999979</v>
      </c>
      <c r="R38" s="447"/>
      <c r="S38" s="447">
        <f>[5]Weights!S41-[5]Weights!$D41</f>
        <v>-2.1999999999999993</v>
      </c>
      <c r="T38" s="447"/>
      <c r="U38" s="447"/>
      <c r="V38" s="447">
        <f>[5]Weights!V41-[5]Weights!$D41</f>
        <v>-2.8000000000000007</v>
      </c>
      <c r="W38" s="447"/>
      <c r="X38" s="447"/>
      <c r="Y38" s="487">
        <f>[5]Weights!Y41-[5]Weights!$D41</f>
        <v>-2</v>
      </c>
      <c r="Z38" s="434"/>
      <c r="AA38" s="433"/>
      <c r="AB38" s="434"/>
    </row>
    <row r="39" spans="1:28" ht="13.8" x14ac:dyDescent="0.25">
      <c r="A39" s="469">
        <v>3420</v>
      </c>
      <c r="B39" s="474" t="s">
        <v>190</v>
      </c>
      <c r="C39" s="479" t="s">
        <v>83</v>
      </c>
      <c r="D39" s="446">
        <f>[5]Weights!D42-[5]Weights!$D42</f>
        <v>0</v>
      </c>
      <c r="E39" s="447">
        <f>[5]Weights!E42-[5]Weights!$D42</f>
        <v>-0.5</v>
      </c>
      <c r="F39" s="447"/>
      <c r="G39" s="447"/>
      <c r="H39" s="447">
        <f>[5]Weights!H42-[5]Weights!$D42</f>
        <v>-0.59999999999999787</v>
      </c>
      <c r="I39" s="447"/>
      <c r="J39" s="447">
        <f>[5]Weights!J42-[5]Weights!$D42</f>
        <v>-1.6999999999999993</v>
      </c>
      <c r="K39" s="447"/>
      <c r="L39" s="447">
        <f>[5]Weights!L42-[5]Weights!$D42</f>
        <v>-3.1999999999999993</v>
      </c>
      <c r="M39" s="447"/>
      <c r="N39" s="447"/>
      <c r="O39" s="447">
        <f>[5]Weights!O42-[5]Weights!$D42</f>
        <v>-4.0999999999999979</v>
      </c>
      <c r="P39" s="447"/>
      <c r="Q39" s="447">
        <f>[5]Weights!Q42-[5]Weights!$D42</f>
        <v>-5.0999999999999979</v>
      </c>
      <c r="R39" s="447"/>
      <c r="S39" s="447">
        <f>[5]Weights!S42-[5]Weights!$D42</f>
        <v>-4.8999999999999986</v>
      </c>
      <c r="T39" s="447"/>
      <c r="U39" s="447"/>
      <c r="V39" s="447">
        <f>[5]Weights!V42-[5]Weights!$D42</f>
        <v>-5.3999999999999986</v>
      </c>
      <c r="W39" s="447"/>
      <c r="X39" s="447"/>
      <c r="Y39" s="487">
        <f>[5]Weights!Y42-[5]Weights!$D42</f>
        <v>-4.1999999999999993</v>
      </c>
      <c r="Z39" s="434"/>
      <c r="AA39" s="459"/>
      <c r="AB39" s="434"/>
    </row>
    <row r="40" spans="1:28" ht="13.8" x14ac:dyDescent="0.25">
      <c r="A40" s="469">
        <v>3417</v>
      </c>
      <c r="B40" s="474" t="s">
        <v>190</v>
      </c>
      <c r="C40" s="479" t="s">
        <v>83</v>
      </c>
      <c r="D40" s="446">
        <f>[5]Weights!D43-[5]Weights!$D43</f>
        <v>0</v>
      </c>
      <c r="E40" s="447">
        <f>[5]Weights!E43-[5]Weights!$D43</f>
        <v>-0.60000000000000142</v>
      </c>
      <c r="F40" s="447"/>
      <c r="G40" s="447"/>
      <c r="H40" s="447">
        <f>[5]Weights!H43-[5]Weights!$D43</f>
        <v>-0.80000000000000071</v>
      </c>
      <c r="I40" s="447"/>
      <c r="J40" s="447">
        <f>[5]Weights!J43-[5]Weights!$D43</f>
        <v>-1.1000000000000014</v>
      </c>
      <c r="K40" s="447"/>
      <c r="L40" s="447">
        <f>[5]Weights!L43-[5]Weights!$D43</f>
        <v>-1.6000000000000014</v>
      </c>
      <c r="M40" s="447"/>
      <c r="N40" s="447"/>
      <c r="O40" s="447">
        <f>[5]Weights!O43-[5]Weights!$D43</f>
        <v>-1.5</v>
      </c>
      <c r="P40" s="447"/>
      <c r="Q40" s="447">
        <f>[5]Weights!Q43-[5]Weights!$D43</f>
        <v>-1.3000000000000007</v>
      </c>
      <c r="R40" s="447"/>
      <c r="S40" s="447">
        <f>[5]Weights!S43-[5]Weights!$D43</f>
        <v>-1.5</v>
      </c>
      <c r="T40" s="447"/>
      <c r="U40" s="447"/>
      <c r="V40" s="447">
        <f>[5]Weights!V43-[5]Weights!$D43</f>
        <v>-1.8000000000000007</v>
      </c>
      <c r="W40" s="447"/>
      <c r="X40" s="447"/>
      <c r="Y40" s="487">
        <f>[5]Weights!Y43-[5]Weights!$D43</f>
        <v>-1.5</v>
      </c>
      <c r="Z40" s="434"/>
      <c r="AA40" s="457"/>
      <c r="AB40" s="434"/>
    </row>
    <row r="41" spans="1:28" ht="13.8" x14ac:dyDescent="0.25">
      <c r="A41" s="469">
        <v>3284</v>
      </c>
      <c r="B41" s="474" t="s">
        <v>190</v>
      </c>
      <c r="C41" s="479" t="s">
        <v>83</v>
      </c>
      <c r="D41" s="446">
        <f>[5]Weights!D44-[5]Weights!$D44</f>
        <v>0</v>
      </c>
      <c r="E41" s="447">
        <f>[5]Weights!E44-[5]Weights!$D44</f>
        <v>-0.30000000000000071</v>
      </c>
      <c r="F41" s="447"/>
      <c r="G41" s="447"/>
      <c r="H41" s="447">
        <f>[5]Weights!H44-[5]Weights!$D44</f>
        <v>-0.5</v>
      </c>
      <c r="I41" s="447"/>
      <c r="J41" s="447">
        <f>[5]Weights!J44-[5]Weights!$D44</f>
        <v>-0.30000000000000071</v>
      </c>
      <c r="K41" s="447"/>
      <c r="L41" s="447">
        <f>[5]Weights!L44-[5]Weights!$D44</f>
        <v>-1.1999999999999993</v>
      </c>
      <c r="M41" s="447"/>
      <c r="N41" s="447"/>
      <c r="O41" s="447">
        <f>[5]Weights!O44-[5]Weights!$D44</f>
        <v>-0.19999999999999929</v>
      </c>
      <c r="P41" s="447"/>
      <c r="Q41" s="447">
        <f>[5]Weights!Q44-[5]Weights!$D44</f>
        <v>-0.19999999999999929</v>
      </c>
      <c r="R41" s="447"/>
      <c r="S41" s="447">
        <f>[5]Weights!S44-[5]Weights!$D44</f>
        <v>-0.19999999999999929</v>
      </c>
      <c r="T41" s="447"/>
      <c r="U41" s="447"/>
      <c r="V41" s="447">
        <f>[5]Weights!V44-[5]Weights!$D44</f>
        <v>-0.5</v>
      </c>
      <c r="W41" s="447"/>
      <c r="X41" s="447"/>
      <c r="Y41" s="487">
        <f>[5]Weights!Y44-[5]Weights!$D44</f>
        <v>0.5</v>
      </c>
      <c r="Z41" s="434"/>
      <c r="AA41" s="460"/>
      <c r="AB41" s="434"/>
    </row>
    <row r="42" spans="1:28" ht="14.4" thickBot="1" x14ac:dyDescent="0.3">
      <c r="A42" s="470">
        <v>3503</v>
      </c>
      <c r="B42" s="475" t="s">
        <v>190</v>
      </c>
      <c r="C42" s="480" t="s">
        <v>83</v>
      </c>
      <c r="D42" s="488">
        <f>[5]Weights!D45-[5]Weights!$D45</f>
        <v>0</v>
      </c>
      <c r="E42" s="489">
        <f>[5]Weights!E45-[5]Weights!$D45</f>
        <v>-2.9000000000000021</v>
      </c>
      <c r="F42" s="489"/>
      <c r="G42" s="489"/>
      <c r="H42" s="489">
        <f>[5]Weights!H45-[5]Weights!$D45</f>
        <v>-3.6000000000000014</v>
      </c>
      <c r="I42" s="489"/>
      <c r="J42" s="489">
        <f>[5]Weights!J45-[5]Weights!$D45</f>
        <v>-4.5</v>
      </c>
      <c r="K42" s="489"/>
      <c r="L42" s="489">
        <f>[5]Weights!L45-[5]Weights!$D45</f>
        <v>-5.1000000000000014</v>
      </c>
      <c r="M42" s="489"/>
      <c r="N42" s="489"/>
      <c r="O42" s="489">
        <f>[5]Weights!O45-[5]Weights!$D45</f>
        <v>-5.5</v>
      </c>
      <c r="P42" s="489"/>
      <c r="Q42" s="489">
        <f>[5]Weights!Q45-[5]Weights!$D45</f>
        <v>-5.6000000000000014</v>
      </c>
      <c r="R42" s="489"/>
      <c r="S42" s="489">
        <f>[5]Weights!S45-[5]Weights!$D45</f>
        <v>-5.2000000000000028</v>
      </c>
      <c r="T42" s="489"/>
      <c r="U42" s="489"/>
      <c r="V42" s="489">
        <f>[5]Weights!V45-[5]Weights!$D45</f>
        <v>-6.5</v>
      </c>
      <c r="W42" s="489"/>
      <c r="X42" s="489"/>
      <c r="Y42" s="490">
        <f>[5]Weights!Y45-[5]Weights!$D45</f>
        <v>-8.1000000000000014</v>
      </c>
      <c r="Z42" s="434"/>
      <c r="AA42" s="460"/>
      <c r="AB42" s="434"/>
    </row>
    <row r="43" spans="1:28" ht="13.8" x14ac:dyDescent="0.25">
      <c r="A43" s="309"/>
      <c r="B43" s="428"/>
      <c r="C43" s="450"/>
      <c r="D43" s="451">
        <f>AVERAGE(D34:D42)</f>
        <v>0</v>
      </c>
      <c r="E43" s="451">
        <f t="shared" ref="E43:Y43" si="4">AVERAGE(E34:E42)</f>
        <v>-1.1222222222222231</v>
      </c>
      <c r="F43" s="451" t="e">
        <f t="shared" si="4"/>
        <v>#DIV/0!</v>
      </c>
      <c r="G43" s="451" t="e">
        <f t="shared" si="4"/>
        <v>#DIV/0!</v>
      </c>
      <c r="H43" s="451">
        <f t="shared" si="4"/>
        <v>-1.1666666666666667</v>
      </c>
      <c r="I43" s="451" t="e">
        <f t="shared" si="4"/>
        <v>#DIV/0!</v>
      </c>
      <c r="J43" s="451">
        <f t="shared" si="4"/>
        <v>-1.5888888888888895</v>
      </c>
      <c r="K43" s="451" t="e">
        <f t="shared" si="4"/>
        <v>#DIV/0!</v>
      </c>
      <c r="L43" s="451">
        <f t="shared" si="4"/>
        <v>-2.3555555555555561</v>
      </c>
      <c r="M43" s="451" t="e">
        <f t="shared" si="4"/>
        <v>#DIV/0!</v>
      </c>
      <c r="N43" s="451" t="e">
        <f t="shared" si="4"/>
        <v>#DIV/0!</v>
      </c>
      <c r="O43" s="451">
        <f t="shared" si="4"/>
        <v>-2.0444444444444443</v>
      </c>
      <c r="P43" s="451" t="e">
        <f t="shared" si="4"/>
        <v>#DIV/0!</v>
      </c>
      <c r="Q43" s="451">
        <f t="shared" si="4"/>
        <v>-2.2555555555555555</v>
      </c>
      <c r="R43" s="451" t="e">
        <f t="shared" si="4"/>
        <v>#DIV/0!</v>
      </c>
      <c r="S43" s="451">
        <f t="shared" si="4"/>
        <v>-2.1</v>
      </c>
      <c r="T43" s="451" t="e">
        <f t="shared" si="4"/>
        <v>#DIV/0!</v>
      </c>
      <c r="U43" s="451" t="e">
        <f t="shared" si="4"/>
        <v>#DIV/0!</v>
      </c>
      <c r="V43" s="451">
        <f t="shared" si="4"/>
        <v>-2.4777777777777783</v>
      </c>
      <c r="W43" s="451" t="e">
        <f t="shared" si="4"/>
        <v>#DIV/0!</v>
      </c>
      <c r="X43" s="451" t="e">
        <f t="shared" si="4"/>
        <v>#DIV/0!</v>
      </c>
      <c r="Y43" s="452">
        <f t="shared" si="4"/>
        <v>-2.2111111111111108</v>
      </c>
      <c r="Z43" s="434"/>
      <c r="AA43" s="460"/>
      <c r="AB43" s="434"/>
    </row>
    <row r="44" spans="1:28" ht="14.4" thickBot="1" x14ac:dyDescent="0.3">
      <c r="A44" s="466"/>
      <c r="B44" s="428"/>
      <c r="C44" s="454"/>
      <c r="D44" s="455">
        <f>STDEV(D34:D42)/SQRT(COUNT(D34:D42))</f>
        <v>0</v>
      </c>
      <c r="E44" s="455">
        <f t="shared" ref="E44:Y44" si="5">STDEV(E34:E42)/SQRT(COUNT(E34:E42))</f>
        <v>0.32735377472569421</v>
      </c>
      <c r="F44" s="455" t="e">
        <f t="shared" si="5"/>
        <v>#DIV/0!</v>
      </c>
      <c r="G44" s="455" t="e">
        <f t="shared" si="5"/>
        <v>#DIV/0!</v>
      </c>
      <c r="H44" s="455">
        <f t="shared" si="5"/>
        <v>0.34156502553198687</v>
      </c>
      <c r="I44" s="455" t="e">
        <f t="shared" si="5"/>
        <v>#DIV/0!</v>
      </c>
      <c r="J44" s="455">
        <f t="shared" si="5"/>
        <v>0.40326598764354449</v>
      </c>
      <c r="K44" s="455" t="e">
        <f t="shared" si="5"/>
        <v>#DIV/0!</v>
      </c>
      <c r="L44" s="455">
        <f t="shared" si="5"/>
        <v>0.4403632058726295</v>
      </c>
      <c r="M44" s="455" t="e">
        <f t="shared" si="5"/>
        <v>#DIV/0!</v>
      </c>
      <c r="N44" s="455" t="e">
        <f t="shared" si="5"/>
        <v>#DIV/0!</v>
      </c>
      <c r="O44" s="455">
        <f t="shared" si="5"/>
        <v>0.59886724347608278</v>
      </c>
      <c r="P44" s="455" t="e">
        <f t="shared" si="5"/>
        <v>#DIV/0!</v>
      </c>
      <c r="Q44" s="455">
        <f t="shared" si="5"/>
        <v>0.6478835438717</v>
      </c>
      <c r="R44" s="455" t="e">
        <f t="shared" si="5"/>
        <v>#DIV/0!</v>
      </c>
      <c r="S44" s="455">
        <f t="shared" si="5"/>
        <v>0.631796380700829</v>
      </c>
      <c r="T44" s="455" t="e">
        <f t="shared" si="5"/>
        <v>#DIV/0!</v>
      </c>
      <c r="U44" s="455" t="e">
        <f t="shared" si="5"/>
        <v>#DIV/0!</v>
      </c>
      <c r="V44" s="455">
        <f t="shared" si="5"/>
        <v>0.76317643543609115</v>
      </c>
      <c r="W44" s="455" t="e">
        <f t="shared" si="5"/>
        <v>#DIV/0!</v>
      </c>
      <c r="X44" s="455" t="e">
        <f t="shared" si="5"/>
        <v>#DIV/0!</v>
      </c>
      <c r="Y44" s="456">
        <f t="shared" si="5"/>
        <v>0.87725019306613339</v>
      </c>
      <c r="Z44" s="434"/>
      <c r="AA44" s="460"/>
      <c r="AB44" s="434"/>
    </row>
    <row r="45" spans="1:28" ht="13.8" x14ac:dyDescent="0.25">
      <c r="A45" s="196"/>
      <c r="B45" s="428"/>
      <c r="C45" s="309"/>
      <c r="D45" s="429"/>
      <c r="E45" s="430"/>
      <c r="F45" s="431"/>
      <c r="G45" s="431"/>
      <c r="H45" s="431"/>
      <c r="I45" s="430"/>
      <c r="J45" s="430"/>
      <c r="K45" s="430"/>
      <c r="L45" s="431"/>
      <c r="M45" s="431"/>
      <c r="N45" s="431"/>
      <c r="O45" s="431"/>
      <c r="P45" s="431"/>
      <c r="Q45" s="431"/>
      <c r="R45" s="431"/>
      <c r="Z45" s="434"/>
      <c r="AA45" s="460"/>
      <c r="AB45" s="434"/>
    </row>
    <row r="46" spans="1:28" ht="14.4" thickBot="1" x14ac:dyDescent="0.3">
      <c r="A46" s="196"/>
      <c r="B46" s="428"/>
      <c r="C46" s="309"/>
      <c r="D46" s="429"/>
      <c r="E46" s="429"/>
      <c r="F46" s="430"/>
      <c r="G46" s="430"/>
      <c r="H46" s="430"/>
      <c r="I46" s="430"/>
      <c r="J46" s="430"/>
      <c r="K46" s="430"/>
      <c r="L46" s="431"/>
      <c r="M46" s="431"/>
      <c r="N46" s="431"/>
      <c r="O46" s="431"/>
      <c r="P46" s="431"/>
      <c r="Q46" s="431"/>
      <c r="R46" s="431"/>
      <c r="S46" s="431"/>
      <c r="T46" s="431"/>
      <c r="U46" s="431"/>
      <c r="V46" s="431"/>
      <c r="W46" s="431"/>
      <c r="X46" s="431"/>
      <c r="Y46" s="431"/>
      <c r="Z46" s="434"/>
      <c r="AA46" s="460"/>
      <c r="AB46" s="434"/>
    </row>
    <row r="47" spans="1:28" ht="14.4" thickBot="1" x14ac:dyDescent="0.3">
      <c r="A47" s="465" t="s">
        <v>178</v>
      </c>
      <c r="B47" s="323"/>
      <c r="C47" s="323"/>
      <c r="D47" s="432">
        <v>43664</v>
      </c>
      <c r="E47" s="432">
        <v>43665</v>
      </c>
      <c r="F47" s="432">
        <v>43666</v>
      </c>
      <c r="G47" s="432">
        <v>43667</v>
      </c>
      <c r="H47" s="432">
        <v>43668</v>
      </c>
      <c r="I47" s="432">
        <v>43669</v>
      </c>
      <c r="J47" s="432">
        <v>43670</v>
      </c>
      <c r="K47" s="432">
        <v>43671</v>
      </c>
      <c r="L47" s="432">
        <v>43672</v>
      </c>
      <c r="M47" s="432">
        <v>43673</v>
      </c>
      <c r="N47" s="432">
        <v>43674</v>
      </c>
      <c r="O47" s="432">
        <v>43675</v>
      </c>
      <c r="P47" s="432">
        <v>43676</v>
      </c>
      <c r="Q47" s="432">
        <v>43677</v>
      </c>
      <c r="R47" s="432">
        <v>43678</v>
      </c>
      <c r="S47" s="432">
        <v>43679</v>
      </c>
      <c r="T47" s="432">
        <v>43680</v>
      </c>
      <c r="U47" s="432">
        <v>43681</v>
      </c>
      <c r="V47" s="432">
        <v>43682</v>
      </c>
      <c r="W47" s="432">
        <v>43683</v>
      </c>
      <c r="X47" s="432">
        <v>43684</v>
      </c>
      <c r="Y47" s="432">
        <v>43685</v>
      </c>
      <c r="Z47" s="434"/>
      <c r="AA47" s="458"/>
      <c r="AB47" s="434"/>
    </row>
    <row r="48" spans="1:28" ht="14.4" thickBot="1" x14ac:dyDescent="0.3">
      <c r="A48" s="476" t="s">
        <v>187</v>
      </c>
      <c r="B48" s="477" t="s">
        <v>188</v>
      </c>
      <c r="C48" s="477" t="s">
        <v>189</v>
      </c>
      <c r="D48" s="482" t="s">
        <v>60</v>
      </c>
      <c r="E48" s="483" t="s">
        <v>61</v>
      </c>
      <c r="F48" s="483" t="s">
        <v>62</v>
      </c>
      <c r="G48" s="483" t="s">
        <v>63</v>
      </c>
      <c r="H48" s="483" t="s">
        <v>64</v>
      </c>
      <c r="I48" s="483" t="s">
        <v>65</v>
      </c>
      <c r="J48" s="483" t="s">
        <v>66</v>
      </c>
      <c r="K48" s="483" t="s">
        <v>67</v>
      </c>
      <c r="L48" s="483" t="s">
        <v>68</v>
      </c>
      <c r="M48" s="483" t="s">
        <v>69</v>
      </c>
      <c r="N48" s="483" t="s">
        <v>70</v>
      </c>
      <c r="O48" s="483" t="s">
        <v>179</v>
      </c>
      <c r="P48" s="483" t="s">
        <v>180</v>
      </c>
      <c r="Q48" s="483" t="s">
        <v>181</v>
      </c>
      <c r="R48" s="484" t="s">
        <v>74</v>
      </c>
      <c r="S48" s="484" t="s">
        <v>75</v>
      </c>
      <c r="T48" s="484" t="s">
        <v>76</v>
      </c>
      <c r="U48" s="484" t="s">
        <v>77</v>
      </c>
      <c r="V48" s="484" t="s">
        <v>78</v>
      </c>
      <c r="W48" s="484" t="s">
        <v>79</v>
      </c>
      <c r="X48" s="484" t="s">
        <v>80</v>
      </c>
      <c r="Y48" s="485" t="s">
        <v>81</v>
      </c>
      <c r="Z48" s="434"/>
      <c r="AA48" s="458"/>
      <c r="AB48" s="434"/>
    </row>
    <row r="49" spans="1:28" ht="13.8" x14ac:dyDescent="0.25">
      <c r="A49" s="439">
        <v>3509</v>
      </c>
      <c r="B49" s="473" t="s">
        <v>185</v>
      </c>
      <c r="C49" s="471" t="s">
        <v>82</v>
      </c>
      <c r="D49" s="441">
        <f>[5]Weights!D53-[5]Weights!$D53</f>
        <v>0</v>
      </c>
      <c r="E49" s="461"/>
      <c r="F49" s="461"/>
      <c r="G49" s="461"/>
      <c r="H49" s="461">
        <f>[5]Weights!H53-[5]Weights!$D53</f>
        <v>0.19999999999999929</v>
      </c>
      <c r="I49" s="461"/>
      <c r="J49" s="461"/>
      <c r="K49" s="461"/>
      <c r="L49" s="461"/>
      <c r="M49" s="461"/>
      <c r="N49" s="461"/>
      <c r="O49" s="461"/>
      <c r="P49" s="461"/>
      <c r="Q49" s="461">
        <f>[5]Weights!Q53-[5]Weights!$D53</f>
        <v>0.39999999999999858</v>
      </c>
      <c r="R49" s="461"/>
      <c r="S49" s="461"/>
      <c r="T49" s="461"/>
      <c r="U49" s="461"/>
      <c r="V49" s="461">
        <f>[5]Weights!V53-[5]Weights!$D53</f>
        <v>0.60000000000000142</v>
      </c>
      <c r="W49" s="461"/>
      <c r="X49" s="461">
        <f>[5]Weights!X53-[5]Weights!$D53</f>
        <v>0.89999999999999858</v>
      </c>
      <c r="Y49" s="486"/>
      <c r="Z49" s="434"/>
      <c r="AA49" s="434"/>
      <c r="AB49" s="434"/>
    </row>
    <row r="50" spans="1:28" ht="13.8" x14ac:dyDescent="0.25">
      <c r="A50" s="444">
        <v>3447</v>
      </c>
      <c r="B50" s="474" t="s">
        <v>185</v>
      </c>
      <c r="C50" s="472" t="s">
        <v>82</v>
      </c>
      <c r="D50" s="446">
        <f>[5]Weights!D56-[5]Weights!$D56</f>
        <v>0</v>
      </c>
      <c r="E50" s="462"/>
      <c r="F50" s="462"/>
      <c r="G50" s="462"/>
      <c r="H50" s="462">
        <f>[5]Weights!H56-[5]Weights!$D56</f>
        <v>0.19999999999999929</v>
      </c>
      <c r="I50" s="462"/>
      <c r="J50" s="462"/>
      <c r="K50" s="462"/>
      <c r="L50" s="462"/>
      <c r="M50" s="462"/>
      <c r="N50" s="462"/>
      <c r="O50" s="462"/>
      <c r="P50" s="462"/>
      <c r="Q50" s="462">
        <f>[5]Weights!Q56-[5]Weights!$D56</f>
        <v>0.19999999999999929</v>
      </c>
      <c r="R50" s="462"/>
      <c r="S50" s="462"/>
      <c r="T50" s="462"/>
      <c r="U50" s="462"/>
      <c r="V50" s="462">
        <f>[5]Weights!V56-[5]Weights!$D56</f>
        <v>1.1000000000000014</v>
      </c>
      <c r="W50" s="462"/>
      <c r="X50" s="462">
        <f>[5]Weights!X56-[5]Weights!$D56</f>
        <v>0.80000000000000071</v>
      </c>
      <c r="Y50" s="487"/>
      <c r="Z50" s="434"/>
      <c r="AA50" s="434"/>
      <c r="AB50" s="434"/>
    </row>
    <row r="51" spans="1:28" ht="13.8" x14ac:dyDescent="0.25">
      <c r="A51" s="444">
        <v>3446</v>
      </c>
      <c r="B51" s="474" t="s">
        <v>186</v>
      </c>
      <c r="C51" s="472" t="s">
        <v>82</v>
      </c>
      <c r="D51" s="446">
        <f>[5]Weights!D54-[5]Weights!$D54</f>
        <v>0</v>
      </c>
      <c r="E51" s="462"/>
      <c r="F51" s="462"/>
      <c r="G51" s="462"/>
      <c r="H51" s="462">
        <f>[5]Weights!H54-[5]Weights!$D54</f>
        <v>0.19999999999999929</v>
      </c>
      <c r="I51" s="462"/>
      <c r="J51" s="462"/>
      <c r="K51" s="462"/>
      <c r="L51" s="462"/>
      <c r="M51" s="462"/>
      <c r="N51" s="462"/>
      <c r="O51" s="462"/>
      <c r="P51" s="462"/>
      <c r="Q51" s="462">
        <f>[5]Weights!Q54-[5]Weights!$D54</f>
        <v>0.19999999999999929</v>
      </c>
      <c r="R51" s="462"/>
      <c r="S51" s="462"/>
      <c r="T51" s="462"/>
      <c r="U51" s="462"/>
      <c r="V51" s="462">
        <f>[5]Weights!V54-[5]Weights!$D54</f>
        <v>9.9999999999997868E-2</v>
      </c>
      <c r="W51" s="462"/>
      <c r="X51" s="462">
        <f>[5]Weights!X54-[5]Weights!$D54</f>
        <v>-0.10000000000000142</v>
      </c>
      <c r="Y51" s="487"/>
      <c r="Z51" s="434"/>
      <c r="AA51" s="433"/>
      <c r="AB51" s="434"/>
    </row>
    <row r="52" spans="1:28" ht="13.8" x14ac:dyDescent="0.25">
      <c r="A52" s="444">
        <v>3508</v>
      </c>
      <c r="B52" s="474" t="s">
        <v>186</v>
      </c>
      <c r="C52" s="472" t="s">
        <v>82</v>
      </c>
      <c r="D52" s="446">
        <f>[5]Weights!D55-[5]Weights!$D55</f>
        <v>0</v>
      </c>
      <c r="E52" s="462"/>
      <c r="F52" s="462"/>
      <c r="G52" s="462"/>
      <c r="H52" s="462">
        <f>[5]Weights!H55-[5]Weights!$D55</f>
        <v>9.9999999999997868E-2</v>
      </c>
      <c r="I52" s="462"/>
      <c r="J52" s="462"/>
      <c r="K52" s="462"/>
      <c r="L52" s="462"/>
      <c r="M52" s="462"/>
      <c r="N52" s="462"/>
      <c r="O52" s="462"/>
      <c r="P52" s="462"/>
      <c r="Q52" s="462">
        <f>[5]Weights!Q55-[5]Weights!$D55</f>
        <v>0.39999999999999858</v>
      </c>
      <c r="R52" s="462"/>
      <c r="S52" s="462"/>
      <c r="T52" s="462"/>
      <c r="U52" s="462"/>
      <c r="V52" s="462">
        <f>[5]Weights!V55-[5]Weights!$D55</f>
        <v>0.89999999999999858</v>
      </c>
      <c r="W52" s="462"/>
      <c r="X52" s="462">
        <f>[5]Weights!X55-[5]Weights!$D55</f>
        <v>0.89999999999999858</v>
      </c>
      <c r="Y52" s="487"/>
      <c r="Z52" s="434"/>
      <c r="AA52" s="436"/>
      <c r="AB52" s="434"/>
    </row>
    <row r="53" spans="1:28" ht="13.8" x14ac:dyDescent="0.25">
      <c r="A53" s="444">
        <v>3445</v>
      </c>
      <c r="B53" s="474" t="s">
        <v>186</v>
      </c>
      <c r="C53" s="472" t="s">
        <v>82</v>
      </c>
      <c r="D53" s="446">
        <f>[5]Weights!D57-[5]Weights!$D57</f>
        <v>0</v>
      </c>
      <c r="E53" s="462"/>
      <c r="F53" s="462"/>
      <c r="G53" s="462"/>
      <c r="H53" s="462">
        <f>[5]Weights!H57-[5]Weights!$D57</f>
        <v>9.9999999999997868E-2</v>
      </c>
      <c r="I53" s="462"/>
      <c r="J53" s="462"/>
      <c r="K53" s="462"/>
      <c r="L53" s="462"/>
      <c r="M53" s="462"/>
      <c r="N53" s="462"/>
      <c r="O53" s="462"/>
      <c r="P53" s="462"/>
      <c r="Q53" s="462">
        <f>[5]Weights!Q57-[5]Weights!$D57</f>
        <v>9.9999999999997868E-2</v>
      </c>
      <c r="R53" s="462"/>
      <c r="S53" s="462"/>
      <c r="T53" s="462"/>
      <c r="U53" s="462"/>
      <c r="V53" s="462">
        <f>[5]Weights!V57-[5]Weights!$D57</f>
        <v>1</v>
      </c>
      <c r="W53" s="462"/>
      <c r="X53" s="462">
        <f>[5]Weights!X57-[5]Weights!$D57</f>
        <v>0.30000000000000071</v>
      </c>
      <c r="Y53" s="487"/>
      <c r="Z53" s="434"/>
      <c r="AA53" s="438"/>
      <c r="AB53" s="434"/>
    </row>
    <row r="54" spans="1:28" ht="13.8" x14ac:dyDescent="0.25">
      <c r="A54" s="444">
        <v>3448</v>
      </c>
      <c r="B54" s="474" t="s">
        <v>185</v>
      </c>
      <c r="C54" s="472" t="s">
        <v>83</v>
      </c>
      <c r="D54" s="446">
        <f>[5]Weights!D58-[5]Weights!$D58</f>
        <v>0</v>
      </c>
      <c r="E54" s="462"/>
      <c r="F54" s="462"/>
      <c r="G54" s="462"/>
      <c r="H54" s="462">
        <f>[5]Weights!H58-[5]Weights!$D58</f>
        <v>9.9999999999997868E-2</v>
      </c>
      <c r="I54" s="462"/>
      <c r="J54" s="462"/>
      <c r="K54" s="462"/>
      <c r="L54" s="462"/>
      <c r="M54" s="462"/>
      <c r="N54" s="462"/>
      <c r="O54" s="462"/>
      <c r="P54" s="462"/>
      <c r="Q54" s="462">
        <f>[5]Weights!Q58-[5]Weights!$D58</f>
        <v>0.39999999999999858</v>
      </c>
      <c r="R54" s="462"/>
      <c r="S54" s="462"/>
      <c r="T54" s="462"/>
      <c r="U54" s="462"/>
      <c r="V54" s="462">
        <f>[5]Weights!V58-[5]Weights!$D58</f>
        <v>0.39999999999999858</v>
      </c>
      <c r="W54" s="462"/>
      <c r="X54" s="462">
        <f>[5]Weights!X58-[5]Weights!$D58</f>
        <v>0.59999999999999787</v>
      </c>
      <c r="Y54" s="487"/>
      <c r="Z54" s="434"/>
      <c r="AA54" s="460"/>
      <c r="AB54" s="434"/>
    </row>
    <row r="55" spans="1:28" ht="13.8" x14ac:dyDescent="0.25">
      <c r="A55" s="444">
        <v>3449</v>
      </c>
      <c r="B55" s="474" t="s">
        <v>186</v>
      </c>
      <c r="C55" s="472" t="s">
        <v>83</v>
      </c>
      <c r="D55" s="446">
        <f>[5]Weights!D59-[5]Weights!$D59</f>
        <v>0</v>
      </c>
      <c r="E55" s="462"/>
      <c r="F55" s="462"/>
      <c r="G55" s="462"/>
      <c r="H55" s="462">
        <f>[5]Weights!H59-[5]Weights!$D59</f>
        <v>-0.10000000000000142</v>
      </c>
      <c r="I55" s="462"/>
      <c r="J55" s="462"/>
      <c r="K55" s="462"/>
      <c r="L55" s="462"/>
      <c r="M55" s="462"/>
      <c r="N55" s="462"/>
      <c r="O55" s="462"/>
      <c r="P55" s="462"/>
      <c r="Q55" s="462">
        <f>[5]Weights!Q59-[5]Weights!$D59</f>
        <v>0.19999999999999929</v>
      </c>
      <c r="R55" s="462"/>
      <c r="S55" s="462"/>
      <c r="T55" s="462"/>
      <c r="U55" s="462"/>
      <c r="V55" s="462">
        <f>[5]Weights!V59-[5]Weights!$D59</f>
        <v>0.39999999999999858</v>
      </c>
      <c r="W55" s="462"/>
      <c r="X55" s="462">
        <f>[5]Weights!X59-[5]Weights!$D59</f>
        <v>0.5</v>
      </c>
      <c r="Y55" s="487"/>
      <c r="Z55" s="434"/>
      <c r="AA55" s="460"/>
      <c r="AB55" s="434"/>
    </row>
    <row r="56" spans="1:28" ht="13.8" x14ac:dyDescent="0.25">
      <c r="A56" s="444">
        <v>3451</v>
      </c>
      <c r="B56" s="474" t="s">
        <v>186</v>
      </c>
      <c r="C56" s="472" t="s">
        <v>83</v>
      </c>
      <c r="D56" s="446">
        <f>[5]Weights!D61-[5]Weights!$D61</f>
        <v>0</v>
      </c>
      <c r="E56" s="462"/>
      <c r="F56" s="462"/>
      <c r="G56" s="462"/>
      <c r="H56" s="462">
        <f>[5]Weights!H61-[5]Weights!$D61</f>
        <v>0.30000000000000071</v>
      </c>
      <c r="I56" s="462"/>
      <c r="J56" s="462"/>
      <c r="K56" s="462"/>
      <c r="L56" s="462"/>
      <c r="M56" s="462"/>
      <c r="N56" s="462"/>
      <c r="O56" s="462"/>
      <c r="P56" s="462"/>
      <c r="Q56" s="462">
        <f>[5]Weights!Q61-[5]Weights!$D61</f>
        <v>0.60000000000000142</v>
      </c>
      <c r="R56" s="462"/>
      <c r="S56" s="462"/>
      <c r="T56" s="462"/>
      <c r="U56" s="462"/>
      <c r="V56" s="462">
        <f>[5]Weights!V61-[5]Weights!$D61</f>
        <v>0.80000000000000071</v>
      </c>
      <c r="W56" s="462"/>
      <c r="X56" s="462">
        <f>[5]Weights!X61-[5]Weights!$D61</f>
        <v>0.60000000000000142</v>
      </c>
      <c r="Y56" s="487"/>
      <c r="Z56" s="434"/>
      <c r="AA56" s="460"/>
      <c r="AB56" s="434"/>
    </row>
    <row r="57" spans="1:28" ht="14.4" thickBot="1" x14ac:dyDescent="0.3">
      <c r="A57" s="448">
        <v>3452</v>
      </c>
      <c r="B57" s="475" t="s">
        <v>186</v>
      </c>
      <c r="C57" s="472" t="s">
        <v>83</v>
      </c>
      <c r="D57" s="488">
        <f>[5]Weights!D62-[5]Weights!$D62</f>
        <v>0</v>
      </c>
      <c r="E57" s="499"/>
      <c r="F57" s="499"/>
      <c r="G57" s="499"/>
      <c r="H57" s="499">
        <f>[5]Weights!H62-[5]Weights!$D62</f>
        <v>0</v>
      </c>
      <c r="I57" s="499"/>
      <c r="J57" s="499"/>
      <c r="K57" s="499"/>
      <c r="L57" s="499"/>
      <c r="M57" s="499"/>
      <c r="N57" s="499"/>
      <c r="O57" s="499"/>
      <c r="P57" s="499"/>
      <c r="Q57" s="499">
        <f>[5]Weights!Q62-[5]Weights!$D62</f>
        <v>0.19999999999999929</v>
      </c>
      <c r="R57" s="499"/>
      <c r="S57" s="499"/>
      <c r="T57" s="499"/>
      <c r="U57" s="499"/>
      <c r="V57" s="499">
        <f>[5]Weights!V62-[5]Weights!$D62</f>
        <v>0.30000000000000071</v>
      </c>
      <c r="W57" s="499"/>
      <c r="X57" s="499">
        <f>[5]Weights!X62-[5]Weights!$D62</f>
        <v>0.10000000000000142</v>
      </c>
      <c r="Y57" s="490"/>
      <c r="Z57" s="434"/>
      <c r="AA57" s="460"/>
      <c r="AB57" s="434"/>
    </row>
    <row r="58" spans="1:28" ht="13.8" x14ac:dyDescent="0.25">
      <c r="A58" s="309"/>
      <c r="B58" s="428"/>
      <c r="C58" s="450"/>
      <c r="D58" s="451">
        <f t="shared" ref="D58:Y58" si="6">AVERAGE(D49:D56)</f>
        <v>0</v>
      </c>
      <c r="E58" s="451" t="e">
        <f t="shared" si="6"/>
        <v>#DIV/0!</v>
      </c>
      <c r="F58" s="451" t="e">
        <f t="shared" si="6"/>
        <v>#DIV/0!</v>
      </c>
      <c r="G58" s="451" t="e">
        <f t="shared" si="6"/>
        <v>#DIV/0!</v>
      </c>
      <c r="H58" s="451">
        <f t="shared" si="6"/>
        <v>0.13749999999999885</v>
      </c>
      <c r="I58" s="451" t="e">
        <f t="shared" si="6"/>
        <v>#DIV/0!</v>
      </c>
      <c r="J58" s="451" t="e">
        <f t="shared" si="6"/>
        <v>#DIV/0!</v>
      </c>
      <c r="K58" s="451" t="e">
        <f t="shared" si="6"/>
        <v>#DIV/0!</v>
      </c>
      <c r="L58" s="451" t="e">
        <f t="shared" si="6"/>
        <v>#DIV/0!</v>
      </c>
      <c r="M58" s="451" t="e">
        <f t="shared" si="6"/>
        <v>#DIV/0!</v>
      </c>
      <c r="N58" s="451" t="e">
        <f t="shared" si="6"/>
        <v>#DIV/0!</v>
      </c>
      <c r="O58" s="451" t="e">
        <f t="shared" si="6"/>
        <v>#DIV/0!</v>
      </c>
      <c r="P58" s="451" t="e">
        <f t="shared" si="6"/>
        <v>#DIV/0!</v>
      </c>
      <c r="Q58" s="451">
        <f t="shared" si="6"/>
        <v>0.31249999999999911</v>
      </c>
      <c r="R58" s="451" t="e">
        <f t="shared" si="6"/>
        <v>#DIV/0!</v>
      </c>
      <c r="S58" s="451" t="e">
        <f t="shared" si="6"/>
        <v>#DIV/0!</v>
      </c>
      <c r="T58" s="451" t="e">
        <f t="shared" si="6"/>
        <v>#DIV/0!</v>
      </c>
      <c r="U58" s="451" t="e">
        <f t="shared" si="6"/>
        <v>#DIV/0!</v>
      </c>
      <c r="V58" s="451">
        <f t="shared" si="6"/>
        <v>0.66249999999999964</v>
      </c>
      <c r="W58" s="451" t="e">
        <f t="shared" si="6"/>
        <v>#DIV/0!</v>
      </c>
      <c r="X58" s="451">
        <f t="shared" si="6"/>
        <v>0.56249999999999956</v>
      </c>
      <c r="Y58" s="452" t="e">
        <f t="shared" si="6"/>
        <v>#DIV/0!</v>
      </c>
      <c r="Z58" s="434"/>
      <c r="AA58" s="460"/>
      <c r="AB58" s="434"/>
    </row>
    <row r="59" spans="1:28" ht="14.4" thickBot="1" x14ac:dyDescent="0.3">
      <c r="A59" s="466"/>
      <c r="B59" s="428"/>
      <c r="C59" s="454"/>
      <c r="D59" s="455">
        <f t="shared" ref="D59:Y59" si="7">STDEV(D49:D56)/SQRT(COUNT(D49:D56))</f>
        <v>0</v>
      </c>
      <c r="E59" s="455" t="e">
        <f t="shared" si="7"/>
        <v>#DIV/0!</v>
      </c>
      <c r="F59" s="455" t="e">
        <f t="shared" si="7"/>
        <v>#DIV/0!</v>
      </c>
      <c r="G59" s="455" t="e">
        <f t="shared" si="7"/>
        <v>#DIV/0!</v>
      </c>
      <c r="H59" s="455">
        <f t="shared" si="7"/>
        <v>4.1992771486803249E-2</v>
      </c>
      <c r="I59" s="455" t="e">
        <f t="shared" si="7"/>
        <v>#DIV/0!</v>
      </c>
      <c r="J59" s="455" t="e">
        <f t="shared" si="7"/>
        <v>#DIV/0!</v>
      </c>
      <c r="K59" s="455" t="e">
        <f t="shared" si="7"/>
        <v>#DIV/0!</v>
      </c>
      <c r="L59" s="455" t="e">
        <f t="shared" si="7"/>
        <v>#DIV/0!</v>
      </c>
      <c r="M59" s="455" t="e">
        <f t="shared" si="7"/>
        <v>#DIV/0!</v>
      </c>
      <c r="N59" s="455" t="e">
        <f t="shared" si="7"/>
        <v>#DIV/0!</v>
      </c>
      <c r="O59" s="455" t="e">
        <f t="shared" si="7"/>
        <v>#DIV/0!</v>
      </c>
      <c r="P59" s="455" t="e">
        <f t="shared" si="7"/>
        <v>#DIV/0!</v>
      </c>
      <c r="Q59" s="455">
        <f t="shared" si="7"/>
        <v>5.805631502503187E-2</v>
      </c>
      <c r="R59" s="455" t="e">
        <f t="shared" si="7"/>
        <v>#DIV/0!</v>
      </c>
      <c r="S59" s="455" t="e">
        <f t="shared" si="7"/>
        <v>#DIV/0!</v>
      </c>
      <c r="T59" s="455" t="e">
        <f t="shared" si="7"/>
        <v>#DIV/0!</v>
      </c>
      <c r="U59" s="455" t="e">
        <f t="shared" si="7"/>
        <v>#DIV/0!</v>
      </c>
      <c r="V59" s="455">
        <f t="shared" si="7"/>
        <v>0.12238332636200343</v>
      </c>
      <c r="W59" s="455" t="e">
        <f t="shared" si="7"/>
        <v>#DIV/0!</v>
      </c>
      <c r="X59" s="455">
        <f t="shared" si="7"/>
        <v>0.11942944719432826</v>
      </c>
      <c r="Y59" s="456" t="e">
        <f t="shared" si="7"/>
        <v>#DIV/0!</v>
      </c>
      <c r="Z59" s="434"/>
      <c r="AA59" s="460"/>
      <c r="AB59" s="434"/>
    </row>
    <row r="60" spans="1:28" ht="13.8" x14ac:dyDescent="0.25">
      <c r="A60" s="309"/>
      <c r="B60" s="428"/>
      <c r="C60" s="164"/>
      <c r="D60" s="463"/>
      <c r="E60" s="463"/>
      <c r="F60" s="463"/>
      <c r="G60" s="463"/>
      <c r="H60" s="463"/>
      <c r="I60" s="463"/>
      <c r="J60" s="463"/>
      <c r="K60" s="463"/>
      <c r="L60" s="463"/>
      <c r="M60" s="463"/>
      <c r="N60" s="463"/>
      <c r="O60" s="463"/>
      <c r="P60" s="463"/>
      <c r="Q60" s="463"/>
      <c r="R60" s="463"/>
      <c r="S60" s="463"/>
      <c r="T60" s="463"/>
      <c r="U60" s="463"/>
      <c r="V60" s="463"/>
      <c r="W60" s="463"/>
      <c r="X60" s="463"/>
      <c r="Y60" s="463"/>
      <c r="Z60" s="434"/>
      <c r="AA60" s="458"/>
      <c r="AB60" s="434"/>
    </row>
    <row r="61" spans="1:28" ht="13.8" x14ac:dyDescent="0.25">
      <c r="B61" s="428"/>
      <c r="C61" s="164"/>
      <c r="D61" s="463"/>
      <c r="E61" s="463"/>
      <c r="F61" s="463"/>
      <c r="G61" s="463"/>
      <c r="H61" s="463"/>
      <c r="I61" s="463"/>
      <c r="J61" s="463"/>
      <c r="K61" s="463"/>
      <c r="L61" s="463"/>
      <c r="M61" s="463"/>
      <c r="N61" s="463"/>
      <c r="O61" s="463"/>
      <c r="P61" s="463"/>
      <c r="Q61" s="463"/>
      <c r="R61" s="463"/>
      <c r="S61" s="463"/>
      <c r="T61" s="463"/>
      <c r="U61" s="463"/>
      <c r="V61" s="463"/>
      <c r="W61" s="463"/>
      <c r="X61" s="463"/>
      <c r="Y61" s="463"/>
      <c r="Z61" s="434"/>
      <c r="AA61" s="458"/>
      <c r="AB61" s="434"/>
    </row>
    <row r="62" spans="1:28" ht="13.8" x14ac:dyDescent="0.25">
      <c r="B62" s="324"/>
      <c r="E62" s="196"/>
      <c r="I62" s="431"/>
      <c r="J62" s="431"/>
      <c r="K62" s="431"/>
      <c r="L62" s="431"/>
      <c r="M62" s="431"/>
      <c r="N62" s="431"/>
      <c r="O62" s="431"/>
      <c r="P62" s="431"/>
      <c r="Q62" s="431"/>
      <c r="R62" s="431"/>
      <c r="S62" s="431"/>
      <c r="T62" s="431"/>
      <c r="U62" s="431"/>
      <c r="V62" s="431"/>
      <c r="W62" s="431"/>
      <c r="X62" s="431"/>
      <c r="Y62" s="431"/>
      <c r="Z62" s="434"/>
      <c r="AA62" s="434"/>
      <c r="AB62" s="434"/>
    </row>
    <row r="63" spans="1:28" ht="13.8" x14ac:dyDescent="0.25">
      <c r="B63" s="324"/>
      <c r="D63" s="196"/>
      <c r="E63" s="196"/>
      <c r="G63" s="464"/>
      <c r="H63" s="464"/>
      <c r="I63" s="431"/>
      <c r="J63" s="431"/>
      <c r="K63" s="431"/>
      <c r="L63" s="431"/>
      <c r="M63" s="431"/>
      <c r="N63" s="431"/>
      <c r="O63" s="431"/>
      <c r="P63" s="431"/>
      <c r="Q63" s="431"/>
      <c r="R63" s="431"/>
      <c r="S63" s="431"/>
      <c r="T63" s="431"/>
      <c r="U63" s="431"/>
      <c r="V63" s="431"/>
      <c r="W63" s="431"/>
      <c r="X63" s="431"/>
      <c r="Y63" s="431"/>
      <c r="Z63" s="434"/>
      <c r="AA63" s="434"/>
      <c r="AB63" s="434"/>
    </row>
    <row r="64" spans="1:28" ht="13.8" x14ac:dyDescent="0.25">
      <c r="B64" s="324"/>
      <c r="D64" s="196"/>
      <c r="E64" s="196"/>
      <c r="G64" s="464"/>
      <c r="H64" s="464"/>
      <c r="I64" s="431"/>
      <c r="J64" s="431"/>
      <c r="K64" s="431"/>
      <c r="L64" s="431"/>
      <c r="M64" s="431"/>
      <c r="N64" s="431"/>
      <c r="O64" s="431"/>
      <c r="P64" s="431"/>
      <c r="Q64" s="431"/>
      <c r="R64" s="431"/>
      <c r="S64" s="431"/>
      <c r="T64" s="431"/>
      <c r="U64" s="431"/>
      <c r="V64" s="431"/>
      <c r="W64" s="431"/>
      <c r="X64" s="431"/>
      <c r="Y64" s="431"/>
    </row>
    <row r="65" spans="1:25" ht="13.8" x14ac:dyDescent="0.25">
      <c r="B65" s="324"/>
      <c r="D65" s="196"/>
      <c r="E65" s="196"/>
      <c r="G65" s="464"/>
      <c r="H65" s="464"/>
      <c r="I65" s="431"/>
      <c r="J65" s="431"/>
      <c r="K65" s="431"/>
      <c r="L65" s="431"/>
      <c r="M65" s="431"/>
      <c r="N65" s="431"/>
      <c r="O65" s="431"/>
      <c r="P65" s="431"/>
      <c r="Q65" s="431"/>
      <c r="R65" s="431"/>
      <c r="S65" s="431"/>
      <c r="T65" s="431"/>
      <c r="U65" s="431"/>
      <c r="V65" s="431"/>
      <c r="W65" s="431"/>
      <c r="X65" s="431"/>
      <c r="Y65" s="431"/>
    </row>
    <row r="66" spans="1:25" ht="13.8" x14ac:dyDescent="0.25">
      <c r="A66" s="324"/>
      <c r="B66" s="324"/>
      <c r="D66" s="196"/>
      <c r="E66" s="196"/>
      <c r="G66" s="464"/>
      <c r="H66" s="464"/>
      <c r="I66" s="431"/>
      <c r="J66" s="431"/>
      <c r="K66" s="431"/>
      <c r="L66" s="431"/>
      <c r="M66" s="431"/>
      <c r="N66" s="431"/>
      <c r="O66" s="431"/>
      <c r="P66" s="431"/>
      <c r="Q66" s="431"/>
      <c r="R66" s="431"/>
      <c r="S66" s="431"/>
      <c r="T66" s="431"/>
      <c r="U66" s="431"/>
      <c r="V66" s="431"/>
      <c r="W66" s="431"/>
      <c r="X66" s="431"/>
      <c r="Y66" s="431"/>
    </row>
    <row r="67" spans="1:25" ht="13.8" x14ac:dyDescent="0.25">
      <c r="D67" s="196"/>
      <c r="E67" s="196"/>
      <c r="G67" s="464"/>
      <c r="H67" s="464"/>
    </row>
    <row r="68" spans="1:25" ht="13.8" x14ac:dyDescent="0.25">
      <c r="D68" s="196"/>
      <c r="E68" s="309"/>
      <c r="G68" s="464"/>
      <c r="H68" s="464"/>
    </row>
    <row r="69" spans="1:25" ht="13.8" x14ac:dyDescent="0.25">
      <c r="D69" s="196"/>
      <c r="G69" s="464"/>
      <c r="H69" s="464"/>
    </row>
    <row r="70" spans="1:25" ht="13.8" x14ac:dyDescent="0.25">
      <c r="D70" s="196"/>
      <c r="E70" s="196"/>
      <c r="G70" s="464"/>
      <c r="H70" s="464"/>
    </row>
    <row r="71" spans="1:25" ht="13.8" x14ac:dyDescent="0.25">
      <c r="D71" s="196"/>
      <c r="E71" s="196"/>
    </row>
    <row r="72" spans="1:25" ht="13.8" x14ac:dyDescent="0.25">
      <c r="E72" s="196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192"/>
  <sheetViews>
    <sheetView workbookViewId="0">
      <selection activeCell="K33" sqref="K33"/>
    </sheetView>
  </sheetViews>
  <sheetFormatPr defaultRowHeight="13.2" x14ac:dyDescent="0.25"/>
  <cols>
    <col min="1" max="1" width="15.77734375" customWidth="1"/>
    <col min="3" max="3" width="10.21875" bestFit="1" customWidth="1"/>
    <col min="4" max="4" width="19.21875" customWidth="1"/>
    <col min="7" max="7" width="10.77734375" customWidth="1"/>
    <col min="8" max="8" width="12" customWidth="1"/>
    <col min="9" max="9" width="11.21875" customWidth="1"/>
    <col min="10" max="10" width="19.44140625" customWidth="1"/>
    <col min="11" max="11" width="15.21875" customWidth="1"/>
    <col min="12" max="12" width="14" customWidth="1"/>
    <col min="13" max="13" width="15.77734375" customWidth="1"/>
    <col min="14" max="14" width="17.21875" customWidth="1"/>
  </cols>
  <sheetData>
    <row r="1" spans="1:21" ht="13.8" thickBot="1" x14ac:dyDescent="0.3">
      <c r="A1" s="8" t="s">
        <v>176</v>
      </c>
    </row>
    <row r="2" spans="1:21" ht="16.2" thickBot="1" x14ac:dyDescent="0.35">
      <c r="A2" s="8" t="s">
        <v>177</v>
      </c>
      <c r="B2" s="8"/>
      <c r="C2" s="10"/>
      <c r="D2" s="9">
        <v>43692</v>
      </c>
      <c r="F2" s="8"/>
      <c r="H2" s="8"/>
    </row>
    <row r="3" spans="1:21" x14ac:dyDescent="0.25">
      <c r="A3" s="8" t="s">
        <v>178</v>
      </c>
      <c r="B3" s="8"/>
      <c r="C3" s="3"/>
      <c r="J3" s="3"/>
    </row>
    <row r="4" spans="1:21" x14ac:dyDescent="0.25">
      <c r="A4" s="8"/>
      <c r="B4" s="8"/>
      <c r="D4" s="5"/>
    </row>
    <row r="5" spans="1:21" ht="13.8" thickBot="1" x14ac:dyDescent="0.3">
      <c r="F5" s="403" t="s">
        <v>5</v>
      </c>
      <c r="G5" s="403" t="s">
        <v>6</v>
      </c>
      <c r="H5" s="403" t="s">
        <v>7</v>
      </c>
    </row>
    <row r="6" spans="1:21" x14ac:dyDescent="0.25">
      <c r="A6" s="24">
        <v>2.4590000000000001</v>
      </c>
      <c r="B6" s="52">
        <v>400</v>
      </c>
      <c r="C6" s="41">
        <v>0.373</v>
      </c>
      <c r="D6" s="404" t="s">
        <v>191</v>
      </c>
      <c r="E6" s="25"/>
      <c r="F6" s="25"/>
      <c r="G6" s="25"/>
      <c r="H6" s="52"/>
      <c r="S6" s="1"/>
      <c r="T6" s="1"/>
      <c r="U6" s="2"/>
    </row>
    <row r="7" spans="1:21" x14ac:dyDescent="0.25">
      <c r="A7" s="26">
        <v>2.3370000000000002</v>
      </c>
      <c r="B7" s="35">
        <v>400</v>
      </c>
      <c r="C7" s="43">
        <v>0.42699999999999999</v>
      </c>
      <c r="D7" s="4">
        <v>3509</v>
      </c>
      <c r="E7" s="21">
        <f>AVERAGE(C6:C8)</f>
        <v>0.4</v>
      </c>
      <c r="F7" s="21">
        <f>176.62*E7 - 13.972</f>
        <v>56.676000000000009</v>
      </c>
      <c r="G7" s="21">
        <v>66.678274999999999</v>
      </c>
      <c r="H7" s="35">
        <f>AVERAGE(F7:G7)</f>
        <v>61.677137500000001</v>
      </c>
      <c r="S7" s="1"/>
      <c r="T7" s="1"/>
      <c r="U7" s="2"/>
    </row>
    <row r="8" spans="1:21" x14ac:dyDescent="0.25">
      <c r="A8" s="26"/>
      <c r="B8" s="35">
        <v>400</v>
      </c>
      <c r="C8" s="43"/>
      <c r="D8" s="23"/>
      <c r="E8" s="21"/>
      <c r="F8" s="21"/>
      <c r="G8" s="21"/>
      <c r="H8" s="35"/>
      <c r="S8" s="1"/>
      <c r="T8" s="1"/>
      <c r="U8" s="2"/>
    </row>
    <row r="9" spans="1:21" x14ac:dyDescent="0.25">
      <c r="A9" s="26">
        <v>1.1100000000000001</v>
      </c>
      <c r="B9" s="35">
        <v>200</v>
      </c>
      <c r="C9" s="43">
        <v>0.443</v>
      </c>
      <c r="D9" s="405" t="s">
        <v>192</v>
      </c>
      <c r="E9" s="21">
        <f>AVERAGE(C9:C11)</f>
        <v>0.46450000000000002</v>
      </c>
      <c r="F9" s="21">
        <f>176.62*E9 - 13.972</f>
        <v>68.067990000000009</v>
      </c>
      <c r="G9" s="21">
        <v>84.754775000000009</v>
      </c>
      <c r="H9" s="35">
        <f>AVERAGE(F9:G9)</f>
        <v>76.411382500000002</v>
      </c>
      <c r="S9" s="1"/>
      <c r="T9" s="1"/>
      <c r="U9" s="2"/>
    </row>
    <row r="10" spans="1:21" ht="15.75" customHeight="1" x14ac:dyDescent="0.25">
      <c r="A10" s="26">
        <v>1.1870000000000001</v>
      </c>
      <c r="B10" s="35">
        <v>200</v>
      </c>
      <c r="C10" s="43">
        <v>0.48599999999999999</v>
      </c>
      <c r="D10" s="4">
        <v>3449</v>
      </c>
      <c r="E10" s="21"/>
      <c r="F10" s="21"/>
      <c r="G10" s="21"/>
      <c r="H10" s="35"/>
      <c r="S10" s="1"/>
      <c r="T10" s="1"/>
      <c r="U10" s="2"/>
    </row>
    <row r="11" spans="1:21" x14ac:dyDescent="0.25">
      <c r="A11" s="26">
        <v>1.119</v>
      </c>
      <c r="B11" s="35">
        <v>200</v>
      </c>
      <c r="C11" s="43"/>
      <c r="D11" s="23"/>
      <c r="E11" s="21"/>
      <c r="F11" s="21"/>
      <c r="G11" s="21"/>
      <c r="H11" s="35"/>
      <c r="S11" s="1"/>
      <c r="T11" s="1"/>
      <c r="U11" s="2"/>
    </row>
    <row r="12" spans="1:21" x14ac:dyDescent="0.25">
      <c r="A12" s="26">
        <v>0.62</v>
      </c>
      <c r="B12" s="35">
        <v>100</v>
      </c>
      <c r="C12" s="43">
        <v>0.501</v>
      </c>
      <c r="D12" s="405" t="s">
        <v>192</v>
      </c>
      <c r="E12" s="21">
        <f>AVERAGE(C12:C14)</f>
        <v>0.498</v>
      </c>
      <c r="F12" s="21">
        <f>176.62*E12 - 13.972</f>
        <v>73.984760000000009</v>
      </c>
      <c r="G12" s="21">
        <v>83.047550000000001</v>
      </c>
      <c r="H12" s="35">
        <f>AVERAGE(F12:G12)</f>
        <v>78.516154999999998</v>
      </c>
      <c r="S12" s="1"/>
      <c r="T12" s="1"/>
      <c r="U12" s="2"/>
    </row>
    <row r="13" spans="1:21" x14ac:dyDescent="0.25">
      <c r="A13" s="26">
        <v>0.629</v>
      </c>
      <c r="B13" s="35">
        <v>100</v>
      </c>
      <c r="C13" s="43">
        <v>0.495</v>
      </c>
      <c r="D13" s="4">
        <v>3451</v>
      </c>
      <c r="E13" s="21"/>
      <c r="F13" s="21"/>
      <c r="G13" s="21"/>
      <c r="H13" s="35"/>
      <c r="Q13" s="1"/>
      <c r="S13" s="1"/>
      <c r="T13" s="1"/>
      <c r="U13" s="2"/>
    </row>
    <row r="14" spans="1:21" x14ac:dyDescent="0.25">
      <c r="A14" s="26">
        <v>0.59899999999999998</v>
      </c>
      <c r="B14" s="35">
        <v>100</v>
      </c>
      <c r="C14" s="43"/>
      <c r="D14" s="23"/>
      <c r="E14" s="21"/>
      <c r="F14" s="21"/>
      <c r="G14" s="21"/>
      <c r="H14" s="35"/>
      <c r="S14" s="1"/>
      <c r="T14" s="1"/>
      <c r="U14" s="2"/>
    </row>
    <row r="15" spans="1:21" x14ac:dyDescent="0.25">
      <c r="A15" s="26">
        <v>0.38900000000000001</v>
      </c>
      <c r="B15" s="35">
        <v>50</v>
      </c>
      <c r="C15" s="43">
        <v>0.53100000000000003</v>
      </c>
      <c r="D15" s="405" t="s">
        <v>192</v>
      </c>
      <c r="E15" s="21">
        <f>AVERAGE(C15:C17)</f>
        <v>0.50249999999999995</v>
      </c>
      <c r="F15" s="21">
        <f>176.62*E15 - 13.972</f>
        <v>74.77955</v>
      </c>
      <c r="G15" s="21">
        <v>84.553924999999992</v>
      </c>
      <c r="H15" s="35">
        <f>AVERAGE(F15:G15)</f>
        <v>79.666737499999996</v>
      </c>
      <c r="Q15" s="1"/>
      <c r="S15" s="1"/>
      <c r="T15" s="1"/>
      <c r="U15" s="2"/>
    </row>
    <row r="16" spans="1:21" x14ac:dyDescent="0.25">
      <c r="A16" s="26">
        <v>0.36099999999999999</v>
      </c>
      <c r="B16" s="35">
        <v>50</v>
      </c>
      <c r="C16" s="43">
        <v>0.47399999999999998</v>
      </c>
      <c r="D16" s="4">
        <v>3452</v>
      </c>
      <c r="E16" s="21"/>
      <c r="F16" s="21"/>
      <c r="G16" s="21"/>
      <c r="H16" s="35"/>
      <c r="Q16" s="1"/>
      <c r="S16" s="1"/>
      <c r="T16" s="1"/>
      <c r="U16" s="2"/>
    </row>
    <row r="17" spans="1:23" x14ac:dyDescent="0.25">
      <c r="A17" s="26">
        <v>0.32600000000000001</v>
      </c>
      <c r="B17" s="35">
        <v>50</v>
      </c>
      <c r="C17" s="43"/>
      <c r="D17" s="23"/>
      <c r="E17" s="21"/>
      <c r="F17" s="21"/>
      <c r="G17" s="21"/>
      <c r="H17" s="35"/>
      <c r="S17" s="1"/>
      <c r="T17" s="1"/>
      <c r="U17" s="2"/>
    </row>
    <row r="18" spans="1:23" x14ac:dyDescent="0.25">
      <c r="A18" s="26">
        <v>0.23300000000000001</v>
      </c>
      <c r="B18" s="35">
        <v>25</v>
      </c>
      <c r="C18" s="43">
        <v>0.41799999999999998</v>
      </c>
      <c r="D18" s="405" t="s">
        <v>192</v>
      </c>
      <c r="E18" s="21">
        <f>AVERAGE(C18:C20)</f>
        <v>0.42449999999999999</v>
      </c>
      <c r="F18" s="21">
        <f>176.62*E18 - 13.972</f>
        <v>61.003189999999996</v>
      </c>
      <c r="G18" s="21">
        <v>64.067224999999993</v>
      </c>
      <c r="H18" s="35">
        <f>AVERAGE(F18:G18)</f>
        <v>62.535207499999999</v>
      </c>
      <c r="Q18" s="1"/>
      <c r="S18" s="1"/>
      <c r="T18" s="1"/>
      <c r="U18" s="2"/>
    </row>
    <row r="19" spans="1:23" ht="13.8" thickBot="1" x14ac:dyDescent="0.3">
      <c r="A19" s="26">
        <v>0.24099999999999999</v>
      </c>
      <c r="B19" s="35">
        <v>25</v>
      </c>
      <c r="C19" s="43">
        <v>0.43099999999999999</v>
      </c>
      <c r="D19" s="4">
        <v>3508</v>
      </c>
      <c r="E19" s="21"/>
      <c r="F19" s="21"/>
      <c r="G19" s="21"/>
      <c r="H19" s="35"/>
      <c r="S19" s="1"/>
      <c r="T19" s="1"/>
      <c r="U19" s="2"/>
    </row>
    <row r="20" spans="1:23" ht="13.8" thickBot="1" x14ac:dyDescent="0.3">
      <c r="A20" s="26">
        <v>0.23100000000000001</v>
      </c>
      <c r="B20" s="35">
        <v>25</v>
      </c>
      <c r="C20" s="43"/>
      <c r="D20" s="23"/>
      <c r="E20" s="21"/>
      <c r="F20" s="21"/>
      <c r="G20" s="21"/>
      <c r="H20" s="35"/>
      <c r="K20" s="406" t="s">
        <v>154</v>
      </c>
      <c r="L20" s="407" t="s">
        <v>155</v>
      </c>
      <c r="M20" s="406" t="s">
        <v>156</v>
      </c>
      <c r="N20" s="407" t="s">
        <v>157</v>
      </c>
      <c r="O20" s="55"/>
      <c r="P20" s="408"/>
      <c r="U20" s="1"/>
      <c r="V20" s="1"/>
      <c r="W20" s="2"/>
    </row>
    <row r="21" spans="1:23" ht="13.8" thickBot="1" x14ac:dyDescent="0.3">
      <c r="A21" s="26">
        <v>0.17499999999999999</v>
      </c>
      <c r="B21" s="35">
        <v>12.5</v>
      </c>
      <c r="C21" s="43">
        <v>0.35</v>
      </c>
      <c r="D21" s="405" t="s">
        <v>193</v>
      </c>
      <c r="E21" s="21">
        <f>AVERAGE(C21:C23)</f>
        <v>0.371</v>
      </c>
      <c r="F21" s="21">
        <f>176.62*E21 - 13.972</f>
        <v>51.554020000000001</v>
      </c>
      <c r="G21" s="21">
        <v>51.514099999999999</v>
      </c>
      <c r="H21" s="35">
        <f>AVERAGE(F21:G21)</f>
        <v>51.534059999999997</v>
      </c>
      <c r="J21" s="411" t="s">
        <v>197</v>
      </c>
      <c r="K21" s="290">
        <f>AVERAGE(F7:F27)</f>
        <v>64.204427500000008</v>
      </c>
      <c r="L21" s="291">
        <f>STDEV(F7:F27)/SQRT(COUNT(F7:F27))</f>
        <v>3.3902032859327171</v>
      </c>
      <c r="M21" s="501">
        <f>AVERAGE(H7:H27)</f>
        <v>67.889210625000004</v>
      </c>
      <c r="N21" s="291">
        <f>STDEV(H7:H27)/SQRT(COUNT(H7:H27))</f>
        <v>3.9172855338087778</v>
      </c>
      <c r="O21" s="103"/>
      <c r="P21" s="103"/>
      <c r="U21" s="1"/>
      <c r="V21" s="1"/>
      <c r="W21" s="2"/>
    </row>
    <row r="22" spans="1:23" ht="13.8" thickBot="1" x14ac:dyDescent="0.3">
      <c r="A22" s="26">
        <v>0.17199999999999999</v>
      </c>
      <c r="B22" s="35">
        <v>12.5</v>
      </c>
      <c r="C22" s="43">
        <v>0.39200000000000002</v>
      </c>
      <c r="D22" s="4">
        <v>3445</v>
      </c>
      <c r="E22" s="21"/>
      <c r="F22" s="21"/>
      <c r="G22" s="21"/>
      <c r="H22" s="35"/>
      <c r="J22" s="1"/>
      <c r="K22" s="292"/>
      <c r="L22" s="293"/>
      <c r="M22" s="502"/>
      <c r="N22" s="293"/>
      <c r="P22" s="103"/>
      <c r="U22" s="1"/>
      <c r="V22" s="1"/>
      <c r="W22" s="2"/>
    </row>
    <row r="23" spans="1:23" ht="14.4" thickBot="1" x14ac:dyDescent="0.3">
      <c r="A23" s="26">
        <v>0.16800000000000001</v>
      </c>
      <c r="B23" s="35">
        <v>12.5</v>
      </c>
      <c r="C23" s="43"/>
      <c r="D23" s="23"/>
      <c r="E23" s="21"/>
      <c r="F23" s="21"/>
      <c r="G23" s="21"/>
      <c r="H23" s="35"/>
      <c r="J23" s="409" t="s">
        <v>194</v>
      </c>
      <c r="K23" s="292">
        <f>AVERAGE(F30:F48)</f>
        <v>126.54182571428571</v>
      </c>
      <c r="L23" s="293">
        <f>STDEV(F30:F48)/SQRT(COUNT(F30:F48))</f>
        <v>7.3082271358064634</v>
      </c>
      <c r="M23" s="502">
        <f>AVERAGE(H30:H48)</f>
        <v>138.47292892857143</v>
      </c>
      <c r="N23" s="293">
        <f>STDEV(H30:H48)/SQRT(COUNT(H30:H48))</f>
        <v>8.7649413436355896</v>
      </c>
      <c r="O23" s="103"/>
      <c r="P23" s="103"/>
      <c r="T23" s="196"/>
      <c r="U23" s="1"/>
      <c r="V23" s="1"/>
      <c r="W23" s="2"/>
    </row>
    <row r="24" spans="1:23" ht="14.4" thickBot="1" x14ac:dyDescent="0.3">
      <c r="A24" s="26">
        <v>0.13500000000000001</v>
      </c>
      <c r="B24" s="35">
        <v>6.25</v>
      </c>
      <c r="C24" s="43">
        <v>0.375</v>
      </c>
      <c r="D24" s="405" t="s">
        <v>191</v>
      </c>
      <c r="E24" s="21"/>
      <c r="F24" s="21"/>
      <c r="G24" s="21"/>
      <c r="H24" s="35"/>
      <c r="J24" s="51"/>
      <c r="K24" s="292"/>
      <c r="L24" s="293"/>
      <c r="M24" s="502"/>
      <c r="N24" s="293"/>
      <c r="P24" s="103"/>
      <c r="T24" s="196"/>
      <c r="U24" s="1"/>
      <c r="V24" s="1"/>
      <c r="W24" s="2"/>
    </row>
    <row r="25" spans="1:23" ht="14.4" thickBot="1" x14ac:dyDescent="0.3">
      <c r="A25" s="26">
        <v>0.13300000000000001</v>
      </c>
      <c r="B25" s="35">
        <v>6.25</v>
      </c>
      <c r="C25" s="43">
        <v>0.39400000000000002</v>
      </c>
      <c r="D25" s="4">
        <v>3448</v>
      </c>
      <c r="E25" s="21">
        <f>AVERAGE(C24:C26)</f>
        <v>0.38450000000000001</v>
      </c>
      <c r="F25" s="21">
        <f>176.62*E25 - 13.972</f>
        <v>53.938390000000005</v>
      </c>
      <c r="G25" s="21">
        <v>59.045974999999999</v>
      </c>
      <c r="H25" s="35">
        <f>AVERAGE(F25:G25)</f>
        <v>56.492182499999998</v>
      </c>
      <c r="J25" s="410" t="s">
        <v>195</v>
      </c>
      <c r="K25" s="292">
        <f>AVERAGE(F51:F69)</f>
        <v>93.703121428571436</v>
      </c>
      <c r="L25" s="293">
        <f>STDEV(F51:F68)/SQRT(COUNT(F51:F68))</f>
        <v>5.3979695683249904</v>
      </c>
      <c r="M25" s="502">
        <f>AVERAGE(H51:H69)</f>
        <v>98.561300000000003</v>
      </c>
      <c r="N25" s="293">
        <f>STDEV(H51:H68)/SQRT(COUNT(H51:H68))</f>
        <v>5.2194020684882219</v>
      </c>
      <c r="O25" s="103"/>
      <c r="P25" s="103"/>
      <c r="T25" s="196"/>
      <c r="U25" s="1"/>
      <c r="V25" s="1"/>
      <c r="W25" s="2"/>
    </row>
    <row r="26" spans="1:23" ht="14.4" thickBot="1" x14ac:dyDescent="0.3">
      <c r="A26" s="26">
        <v>0.13600000000000001</v>
      </c>
      <c r="B26" s="35">
        <v>6.25</v>
      </c>
      <c r="C26" s="43"/>
      <c r="D26" s="23"/>
      <c r="E26" s="21"/>
      <c r="F26" s="21"/>
      <c r="G26" s="21"/>
      <c r="H26" s="35"/>
      <c r="K26" s="292"/>
      <c r="L26" s="293"/>
      <c r="M26" s="502"/>
      <c r="N26" s="293"/>
      <c r="P26" s="103"/>
      <c r="T26" s="196"/>
      <c r="U26" s="1"/>
      <c r="V26" s="1"/>
      <c r="W26" s="2"/>
    </row>
    <row r="27" spans="1:23" ht="14.4" thickBot="1" x14ac:dyDescent="0.3">
      <c r="A27" s="26">
        <v>0.10100000000000001</v>
      </c>
      <c r="B27" s="35">
        <v>0</v>
      </c>
      <c r="C27" s="43">
        <v>0.47799999999999998</v>
      </c>
      <c r="D27" s="405" t="s">
        <v>191</v>
      </c>
      <c r="E27" s="21">
        <f>AVERAGE(C27:C29)</f>
        <v>0.496</v>
      </c>
      <c r="F27" s="21">
        <f>176.62*E27 - 13.972</f>
        <v>73.631520000000009</v>
      </c>
      <c r="G27" s="21">
        <v>78.93012499999999</v>
      </c>
      <c r="H27" s="35">
        <f>AVERAGE(F27:G27)</f>
        <v>76.280822499999999</v>
      </c>
      <c r="J27" s="411" t="s">
        <v>196</v>
      </c>
      <c r="K27" s="298">
        <f>AVERAGE(F72:F90)</f>
        <v>68.206762857142863</v>
      </c>
      <c r="L27" s="299">
        <f>STDEV(F72:F90)/SQRT(COUNT(F72:F90))</f>
        <v>7.0870227729245281</v>
      </c>
      <c r="M27" s="503">
        <f>AVERAGE(H72:H90)</f>
        <v>72.499634999999998</v>
      </c>
      <c r="N27" s="299">
        <f>STDEV(H72:H90)/SQRT(COUNT(H72:H90))</f>
        <v>6.0414846024691933</v>
      </c>
      <c r="O27" s="103"/>
      <c r="P27" s="103"/>
      <c r="T27" s="196"/>
      <c r="U27" s="1"/>
      <c r="V27" s="1"/>
      <c r="W27" s="2"/>
    </row>
    <row r="28" spans="1:23" ht="13.8" x14ac:dyDescent="0.25">
      <c r="A28" s="26">
        <v>9.5000000000000001E-2</v>
      </c>
      <c r="B28" s="35">
        <v>0</v>
      </c>
      <c r="C28" s="43">
        <v>0.51400000000000001</v>
      </c>
      <c r="D28" s="4">
        <v>3447</v>
      </c>
      <c r="E28" s="21"/>
      <c r="F28" s="21"/>
      <c r="G28" s="21"/>
      <c r="H28" s="35"/>
      <c r="R28" s="196"/>
      <c r="S28" s="1"/>
      <c r="T28" s="1"/>
      <c r="U28" s="2"/>
    </row>
    <row r="29" spans="1:23" ht="14.4" thickBot="1" x14ac:dyDescent="0.3">
      <c r="A29" s="27">
        <v>8.1000000000000003E-2</v>
      </c>
      <c r="B29" s="36">
        <v>0</v>
      </c>
      <c r="C29" s="48"/>
      <c r="D29" s="28"/>
      <c r="E29" s="29"/>
      <c r="F29" s="29"/>
      <c r="G29" s="29"/>
      <c r="H29" s="36"/>
      <c r="J29" s="5"/>
      <c r="K29" s="103"/>
      <c r="L29" s="103"/>
      <c r="R29" s="196"/>
      <c r="S29" s="1"/>
      <c r="T29" s="1"/>
      <c r="U29" s="2"/>
    </row>
    <row r="30" spans="1:23" x14ac:dyDescent="0.25">
      <c r="C30" s="305">
        <v>0.69699999999999995</v>
      </c>
      <c r="D30" s="427" t="s">
        <v>194</v>
      </c>
      <c r="E30" s="46">
        <f>AVERAGE(C30:C32)</f>
        <v>0.72099999999999997</v>
      </c>
      <c r="F30" s="46">
        <f>176.62*E30 - 13.972</f>
        <v>113.37102</v>
      </c>
      <c r="G30" s="46">
        <v>139.68725000000001</v>
      </c>
      <c r="H30" s="136">
        <f>AVERAGE(F30:G30)</f>
        <v>126.529135</v>
      </c>
      <c r="S30" s="1"/>
      <c r="T30" s="1"/>
      <c r="U30" s="2"/>
    </row>
    <row r="31" spans="1:23" x14ac:dyDescent="0.25">
      <c r="C31" s="26">
        <v>0.745</v>
      </c>
      <c r="D31" s="412">
        <v>3517</v>
      </c>
      <c r="E31" s="21"/>
      <c r="F31" s="21"/>
      <c r="G31" s="21"/>
      <c r="H31" s="35"/>
      <c r="J31" s="5"/>
      <c r="K31" s="103"/>
      <c r="L31" s="103"/>
      <c r="S31" s="1"/>
      <c r="T31" s="1"/>
      <c r="U31" s="2"/>
    </row>
    <row r="32" spans="1:23" x14ac:dyDescent="0.25">
      <c r="C32" s="26"/>
      <c r="D32" s="23"/>
      <c r="E32" s="21"/>
      <c r="F32" s="21"/>
      <c r="G32" s="21"/>
      <c r="H32" s="35"/>
      <c r="S32" s="1"/>
      <c r="T32" s="1"/>
      <c r="U32" s="2"/>
    </row>
    <row r="33" spans="3:21" x14ac:dyDescent="0.25">
      <c r="C33" s="26">
        <v>0.74299999999999999</v>
      </c>
      <c r="D33" s="413" t="s">
        <v>194</v>
      </c>
      <c r="E33" s="21">
        <f>AVERAGE(C33:C35)</f>
        <v>0.71550000000000002</v>
      </c>
      <c r="F33" s="21">
        <f>176.62*E33 - 13.972</f>
        <v>112.39961000000001</v>
      </c>
      <c r="G33" s="21">
        <v>134.86685</v>
      </c>
      <c r="H33" s="35">
        <f>AVERAGE(F33:G33)</f>
        <v>123.63323</v>
      </c>
      <c r="J33" s="5"/>
      <c r="K33" s="103"/>
      <c r="L33" s="103"/>
      <c r="S33" s="1"/>
      <c r="T33" s="1"/>
      <c r="U33" s="2"/>
    </row>
    <row r="34" spans="3:21" x14ac:dyDescent="0.25">
      <c r="C34" s="26">
        <v>0.68799999999999994</v>
      </c>
      <c r="D34" s="412">
        <v>3285</v>
      </c>
      <c r="E34" s="21"/>
      <c r="F34" s="21"/>
      <c r="G34" s="21"/>
      <c r="H34" s="35"/>
      <c r="S34" s="1"/>
      <c r="T34" s="1"/>
      <c r="U34" s="2"/>
    </row>
    <row r="35" spans="3:21" x14ac:dyDescent="0.25">
      <c r="C35" s="26"/>
      <c r="D35" s="23"/>
      <c r="E35" s="21"/>
      <c r="F35" s="21"/>
      <c r="G35" s="21"/>
      <c r="H35" s="35"/>
      <c r="J35" s="5"/>
      <c r="K35" s="103"/>
      <c r="L35" s="103"/>
      <c r="S35" s="1"/>
      <c r="T35" s="1"/>
      <c r="U35" s="2"/>
    </row>
    <row r="36" spans="3:21" x14ac:dyDescent="0.25">
      <c r="C36" s="26">
        <v>0.78</v>
      </c>
      <c r="D36" s="413" t="s">
        <v>194</v>
      </c>
      <c r="E36" s="21">
        <f>AVERAGE(C36:C38)</f>
        <v>0.73799999999999999</v>
      </c>
      <c r="F36" s="21">
        <f>176.62*E36 - 13.972</f>
        <v>116.37356000000001</v>
      </c>
      <c r="G36" s="21">
        <v>149.62932499999999</v>
      </c>
      <c r="H36" s="35">
        <f>AVERAGE(F36:G36)</f>
        <v>133.0014425</v>
      </c>
      <c r="S36" s="1"/>
      <c r="T36" s="1"/>
      <c r="U36" s="2"/>
    </row>
    <row r="37" spans="3:21" x14ac:dyDescent="0.25">
      <c r="C37" s="26">
        <v>0.69599999999999995</v>
      </c>
      <c r="D37" s="412">
        <v>3284</v>
      </c>
      <c r="E37" s="21"/>
      <c r="F37" s="21"/>
      <c r="G37" s="21"/>
      <c r="H37" s="35"/>
      <c r="S37" s="1"/>
      <c r="T37" s="1"/>
      <c r="U37" s="2"/>
    </row>
    <row r="38" spans="3:21" x14ac:dyDescent="0.25">
      <c r="C38" s="26"/>
      <c r="D38" s="23"/>
      <c r="E38" s="21"/>
      <c r="F38" s="21"/>
      <c r="G38" s="21"/>
      <c r="H38" s="35"/>
      <c r="S38" s="1"/>
      <c r="T38" s="1"/>
      <c r="U38" s="2"/>
    </row>
    <row r="39" spans="3:21" x14ac:dyDescent="0.25">
      <c r="C39" s="26">
        <v>1.0009999999999999</v>
      </c>
      <c r="D39" s="413" t="s">
        <v>194</v>
      </c>
      <c r="E39" s="21">
        <f>AVERAGE(C39:C41)</f>
        <v>0.93849999999999989</v>
      </c>
      <c r="F39" s="21">
        <f>176.62*E39 - 13.972</f>
        <v>151.78586999999999</v>
      </c>
      <c r="G39" s="21">
        <v>154.14844999999997</v>
      </c>
      <c r="H39" s="35">
        <f>AVERAGE(F39:G39)</f>
        <v>152.96715999999998</v>
      </c>
      <c r="S39" s="1"/>
      <c r="T39" s="1"/>
      <c r="U39" s="2"/>
    </row>
    <row r="40" spans="3:21" x14ac:dyDescent="0.25">
      <c r="C40" s="26">
        <v>0.876</v>
      </c>
      <c r="D40" s="412">
        <v>3544</v>
      </c>
      <c r="E40" s="21"/>
      <c r="F40" s="21"/>
      <c r="G40" s="21"/>
      <c r="H40" s="35"/>
      <c r="Q40" s="1"/>
      <c r="S40" s="1"/>
      <c r="T40" s="1"/>
      <c r="U40" s="2"/>
    </row>
    <row r="41" spans="3:21" x14ac:dyDescent="0.25">
      <c r="C41" s="26"/>
      <c r="D41" s="23"/>
      <c r="E41" s="21"/>
      <c r="F41" s="21"/>
      <c r="G41" s="21"/>
      <c r="H41" s="35"/>
      <c r="S41" s="1"/>
      <c r="T41" s="1"/>
      <c r="U41" s="2"/>
    </row>
    <row r="42" spans="3:21" x14ac:dyDescent="0.25">
      <c r="C42" s="26">
        <v>0.73699999999999999</v>
      </c>
      <c r="D42" s="413" t="s">
        <v>194</v>
      </c>
      <c r="E42" s="21">
        <f>AVERAGE(C42:C44)</f>
        <v>0.74</v>
      </c>
      <c r="F42" s="21">
        <f>176.62*E42 - 13.972</f>
        <v>116.72680000000001</v>
      </c>
      <c r="G42" s="21">
        <v>130.54857499999997</v>
      </c>
      <c r="H42" s="35">
        <f>AVERAGE(F42:G42)</f>
        <v>123.6376875</v>
      </c>
      <c r="Q42" s="1"/>
      <c r="S42" s="1"/>
      <c r="T42" s="1"/>
      <c r="U42" s="2"/>
    </row>
    <row r="43" spans="3:21" x14ac:dyDescent="0.25">
      <c r="C43" s="26">
        <v>0.74299999999999999</v>
      </c>
      <c r="D43" s="412">
        <v>3550</v>
      </c>
      <c r="E43" s="21"/>
      <c r="F43" s="21"/>
      <c r="G43" s="21"/>
      <c r="H43" s="35"/>
      <c r="S43" s="1"/>
      <c r="T43" s="1"/>
      <c r="U43" s="2"/>
    </row>
    <row r="44" spans="3:21" x14ac:dyDescent="0.25">
      <c r="C44" s="26"/>
      <c r="D44" s="23"/>
      <c r="E44" s="21"/>
      <c r="F44" s="21"/>
      <c r="G44" s="21"/>
      <c r="H44" s="35"/>
    </row>
    <row r="45" spans="3:21" x14ac:dyDescent="0.25">
      <c r="C45" s="26">
        <v>0.76500000000000001</v>
      </c>
      <c r="D45" s="413" t="s">
        <v>194</v>
      </c>
      <c r="E45" s="21">
        <f>AVERAGE(C45:C47)</f>
        <v>0.74550000000000005</v>
      </c>
      <c r="F45" s="21">
        <f>176.62*E45 - 13.972</f>
        <v>117.69821000000003</v>
      </c>
      <c r="G45" s="21">
        <v>130.649</v>
      </c>
      <c r="H45" s="35">
        <f>AVERAGE(F45:G45)</f>
        <v>124.17360500000001</v>
      </c>
    </row>
    <row r="46" spans="3:21" x14ac:dyDescent="0.25">
      <c r="C46" s="26">
        <v>0.72599999999999998</v>
      </c>
      <c r="D46" s="412">
        <v>3545</v>
      </c>
      <c r="E46" s="21"/>
      <c r="F46" s="21"/>
      <c r="G46" s="21"/>
      <c r="H46" s="35"/>
    </row>
    <row r="47" spans="3:21" x14ac:dyDescent="0.25">
      <c r="C47" s="26"/>
      <c r="D47" s="23"/>
      <c r="E47" s="21"/>
      <c r="F47" s="21"/>
      <c r="G47" s="21"/>
      <c r="H47" s="35"/>
    </row>
    <row r="48" spans="3:21" x14ac:dyDescent="0.25">
      <c r="C48" s="26">
        <v>1.105</v>
      </c>
      <c r="D48" s="413" t="s">
        <v>194</v>
      </c>
      <c r="E48" s="21">
        <f>AVERAGE(C48:C50)</f>
        <v>0.97049999999999992</v>
      </c>
      <c r="F48" s="21">
        <f>176.62*E48 - 13.972</f>
        <v>157.43770999999998</v>
      </c>
      <c r="G48" s="21">
        <v>213.29877499999998</v>
      </c>
      <c r="H48" s="35">
        <f>AVERAGE(F48:G48)</f>
        <v>185.36824249999998</v>
      </c>
    </row>
    <row r="49" spans="2:18" x14ac:dyDescent="0.25">
      <c r="C49" s="26">
        <v>0.83599999999999997</v>
      </c>
      <c r="D49" s="412">
        <v>3283</v>
      </c>
      <c r="E49" s="21"/>
      <c r="F49" s="21"/>
      <c r="G49" s="21"/>
      <c r="H49" s="35"/>
    </row>
    <row r="50" spans="2:18" ht="13.8" thickBot="1" x14ac:dyDescent="0.3">
      <c r="C50" s="30"/>
      <c r="D50" s="31"/>
      <c r="E50" s="32"/>
      <c r="F50" s="32"/>
      <c r="G50" s="32"/>
      <c r="H50" s="37"/>
    </row>
    <row r="51" spans="2:18" x14ac:dyDescent="0.25">
      <c r="C51" s="24">
        <v>0.81799999999999995</v>
      </c>
      <c r="D51" s="414" t="s">
        <v>195</v>
      </c>
      <c r="E51" s="25">
        <f>AVERAGE(C51:C53)</f>
        <v>0.72350000000000003</v>
      </c>
      <c r="F51" s="25">
        <f>176.62*E51 - 13.972</f>
        <v>113.81257000000001</v>
      </c>
      <c r="G51" s="25">
        <v>115.68567499999999</v>
      </c>
      <c r="H51" s="52">
        <f>AVERAGE(F51:G51)</f>
        <v>114.7491225</v>
      </c>
    </row>
    <row r="52" spans="2:18" x14ac:dyDescent="0.25">
      <c r="B52" t="s">
        <v>0</v>
      </c>
      <c r="C52" s="26">
        <v>0.629</v>
      </c>
      <c r="D52" s="415">
        <v>3542</v>
      </c>
      <c r="E52" s="21"/>
      <c r="F52" s="21"/>
      <c r="G52" s="21"/>
      <c r="H52" s="35"/>
      <c r="R52" s="3"/>
    </row>
    <row r="53" spans="2:18" x14ac:dyDescent="0.25">
      <c r="C53" s="416"/>
      <c r="D53" s="23"/>
      <c r="E53" s="21"/>
      <c r="F53" s="21"/>
      <c r="G53" s="21"/>
      <c r="H53" s="35"/>
      <c r="K53" s="1"/>
      <c r="L53" s="1"/>
      <c r="M53" s="1"/>
      <c r="O53" s="1"/>
      <c r="P53" s="1"/>
      <c r="Q53" s="1"/>
    </row>
    <row r="54" spans="2:18" x14ac:dyDescent="0.25">
      <c r="C54" s="26">
        <v>0.626</v>
      </c>
      <c r="D54" s="417" t="s">
        <v>195</v>
      </c>
      <c r="E54" s="21">
        <f>AVERAGE(C54:C56)</f>
        <v>0.60850000000000004</v>
      </c>
      <c r="F54" s="21">
        <f>176.62*E54 - 13.972</f>
        <v>93.501270000000019</v>
      </c>
      <c r="G54" s="21">
        <v>111.36739999999999</v>
      </c>
      <c r="H54" s="35">
        <f>AVERAGE(F54:G54)</f>
        <v>102.434335</v>
      </c>
      <c r="J54" s="1"/>
      <c r="K54" s="1"/>
      <c r="L54" s="1"/>
      <c r="M54" s="1"/>
      <c r="N54" s="1"/>
      <c r="O54" s="1"/>
      <c r="P54" s="1"/>
      <c r="Q54" s="1"/>
    </row>
    <row r="55" spans="2:18" x14ac:dyDescent="0.25">
      <c r="C55" s="26">
        <v>0.59099999999999997</v>
      </c>
      <c r="D55" s="415">
        <v>3543</v>
      </c>
      <c r="E55" s="21"/>
      <c r="F55" s="21"/>
      <c r="G55" s="21"/>
      <c r="H55" s="35"/>
      <c r="J55" s="1"/>
      <c r="K55" s="1"/>
      <c r="L55" s="1"/>
      <c r="M55" s="1"/>
      <c r="N55" s="1"/>
      <c r="O55" s="1"/>
      <c r="P55" s="1"/>
      <c r="Q55" s="1"/>
    </row>
    <row r="56" spans="2:18" x14ac:dyDescent="0.25">
      <c r="C56" s="26"/>
      <c r="D56" s="23"/>
      <c r="E56" s="21"/>
      <c r="F56" s="21"/>
      <c r="G56" s="21"/>
      <c r="H56" s="35"/>
      <c r="J56" s="1"/>
      <c r="K56" s="1"/>
      <c r="L56" s="1"/>
      <c r="M56" s="1"/>
      <c r="N56" s="1"/>
    </row>
    <row r="57" spans="2:18" x14ac:dyDescent="0.25">
      <c r="C57" s="26">
        <v>0.61599999999999999</v>
      </c>
      <c r="D57" s="417" t="s">
        <v>195</v>
      </c>
      <c r="E57" s="21">
        <f>AVERAGE(C57:C59)</f>
        <v>0.60349999999999993</v>
      </c>
      <c r="F57" s="21">
        <f>176.62*E57 - 13.972</f>
        <v>92.618169999999992</v>
      </c>
      <c r="G57" s="21">
        <v>86.863700000000009</v>
      </c>
      <c r="H57" s="35">
        <f>AVERAGE(F57:G57)</f>
        <v>89.740935000000007</v>
      </c>
    </row>
    <row r="58" spans="2:18" x14ac:dyDescent="0.25">
      <c r="C58" s="26">
        <v>0.59099999999999997</v>
      </c>
      <c r="D58" s="415">
        <v>3548</v>
      </c>
      <c r="E58" s="21"/>
      <c r="F58" s="21"/>
      <c r="G58" s="21"/>
      <c r="H58" s="35"/>
    </row>
    <row r="59" spans="2:18" x14ac:dyDescent="0.25">
      <c r="C59" s="26"/>
      <c r="D59" s="23"/>
      <c r="E59" s="21"/>
      <c r="F59" s="21"/>
      <c r="G59" s="21"/>
      <c r="H59" s="35"/>
    </row>
    <row r="60" spans="2:18" x14ac:dyDescent="0.25">
      <c r="C60" s="26">
        <v>0.52300000000000002</v>
      </c>
      <c r="D60" s="417" t="s">
        <v>195</v>
      </c>
      <c r="E60" s="21">
        <f>AVERAGE(C60:C62)</f>
        <v>0.51500000000000001</v>
      </c>
      <c r="F60" s="21">
        <f>176.62*E60 - 13.972</f>
        <v>76.987300000000005</v>
      </c>
      <c r="G60" s="21">
        <v>89.77602499999999</v>
      </c>
      <c r="H60" s="35">
        <f>AVERAGE(F60:G60)</f>
        <v>83.381662500000004</v>
      </c>
    </row>
    <row r="61" spans="2:18" x14ac:dyDescent="0.25">
      <c r="C61" s="26">
        <v>0.50700000000000001</v>
      </c>
      <c r="D61" s="415">
        <v>3597</v>
      </c>
      <c r="E61" s="21"/>
      <c r="F61" s="21"/>
      <c r="G61" s="21"/>
      <c r="H61" s="35"/>
    </row>
    <row r="62" spans="2:18" x14ac:dyDescent="0.25">
      <c r="C62" s="26"/>
      <c r="D62" s="23"/>
      <c r="E62" s="21"/>
      <c r="F62" s="21"/>
      <c r="G62" s="21"/>
      <c r="H62" s="35"/>
    </row>
    <row r="63" spans="2:18" x14ac:dyDescent="0.25">
      <c r="C63" s="26">
        <v>0.65300000000000002</v>
      </c>
      <c r="D63" s="417" t="s">
        <v>195</v>
      </c>
      <c r="E63" s="21">
        <f>AVERAGE(C63:C65)</f>
        <v>0.65250000000000008</v>
      </c>
      <c r="F63" s="21">
        <f>176.62*E63 - 13.972</f>
        <v>101.27255000000002</v>
      </c>
      <c r="G63" s="21">
        <v>119.90352499999999</v>
      </c>
      <c r="H63" s="35">
        <f>AVERAGE(F63:G63)</f>
        <v>110.58803750000001</v>
      </c>
    </row>
    <row r="64" spans="2:18" x14ac:dyDescent="0.25">
      <c r="C64" s="26">
        <v>0.65200000000000002</v>
      </c>
      <c r="D64" s="415">
        <v>3512</v>
      </c>
      <c r="E64" s="21"/>
      <c r="F64" s="21"/>
      <c r="G64" s="21"/>
      <c r="H64" s="35"/>
    </row>
    <row r="65" spans="3:9" x14ac:dyDescent="0.25">
      <c r="C65" s="26"/>
      <c r="D65" s="23"/>
      <c r="E65" s="21"/>
      <c r="F65" s="21"/>
      <c r="G65" s="21"/>
      <c r="H65" s="35"/>
    </row>
    <row r="66" spans="3:9" x14ac:dyDescent="0.25">
      <c r="C66" s="26">
        <v>0.6</v>
      </c>
      <c r="D66" s="417" t="s">
        <v>195</v>
      </c>
      <c r="E66" s="21">
        <f>AVERAGE(C66:C68)</f>
        <v>0.54449999999999998</v>
      </c>
      <c r="F66" s="21">
        <f>176.62*E66 - 13.972</f>
        <v>82.197590000000005</v>
      </c>
      <c r="G66" s="21">
        <v>96.203225000000003</v>
      </c>
      <c r="H66" s="35">
        <f>AVERAGE(F66:G66)</f>
        <v>89.200407500000011</v>
      </c>
    </row>
    <row r="67" spans="3:9" x14ac:dyDescent="0.25">
      <c r="C67" s="26">
        <v>0.48899999999999999</v>
      </c>
      <c r="D67" s="415">
        <v>3510</v>
      </c>
      <c r="E67" s="21"/>
      <c r="F67" s="21"/>
      <c r="G67" s="21"/>
      <c r="H67" s="35"/>
    </row>
    <row r="68" spans="3:9" x14ac:dyDescent="0.25">
      <c r="C68" s="26"/>
      <c r="D68" s="23"/>
      <c r="E68" s="21"/>
      <c r="F68" s="21"/>
      <c r="G68" s="21"/>
      <c r="H68" s="35"/>
    </row>
    <row r="69" spans="3:9" x14ac:dyDescent="0.25">
      <c r="C69" s="26">
        <v>0.6</v>
      </c>
      <c r="D69" s="417" t="s">
        <v>195</v>
      </c>
      <c r="E69" s="21">
        <f>AVERAGE(C69:C71)</f>
        <v>0.62</v>
      </c>
      <c r="F69" s="21">
        <f>176.62*E69 - 13.972</f>
        <v>95.53240000000001</v>
      </c>
      <c r="G69" s="21">
        <v>104.13679999999999</v>
      </c>
      <c r="H69" s="35">
        <f>AVERAGE(F69:G69)</f>
        <v>99.834599999999995</v>
      </c>
    </row>
    <row r="70" spans="3:9" x14ac:dyDescent="0.25">
      <c r="C70" s="26">
        <v>0.64</v>
      </c>
      <c r="D70" s="415">
        <v>3547</v>
      </c>
      <c r="E70" s="21"/>
      <c r="F70" s="21"/>
      <c r="G70" s="21"/>
      <c r="H70" s="35"/>
    </row>
    <row r="71" spans="3:9" ht="13.8" thickBot="1" x14ac:dyDescent="0.3">
      <c r="C71" s="30"/>
      <c r="D71" s="31"/>
      <c r="E71" s="32"/>
      <c r="F71" s="32"/>
      <c r="G71" s="32"/>
      <c r="H71" s="37"/>
    </row>
    <row r="72" spans="3:9" x14ac:dyDescent="0.25">
      <c r="C72" s="24">
        <v>0.53800000000000003</v>
      </c>
      <c r="D72" s="418" t="s">
        <v>196</v>
      </c>
      <c r="E72" s="25">
        <f>AVERAGE(C72:C74)</f>
        <v>0.51300000000000001</v>
      </c>
      <c r="F72" s="25">
        <f>176.62*E72 - 13.972</f>
        <v>76.634060000000005</v>
      </c>
      <c r="G72" s="25">
        <v>85.859449999999981</v>
      </c>
      <c r="H72" s="52">
        <f>AVERAGE(F72:G72)</f>
        <v>81.246754999999993</v>
      </c>
    </row>
    <row r="73" spans="3:9" x14ac:dyDescent="0.25">
      <c r="C73" s="26">
        <v>0.48799999999999999</v>
      </c>
      <c r="D73" s="419">
        <v>3513</v>
      </c>
      <c r="E73" s="21"/>
      <c r="F73" s="21"/>
      <c r="G73" s="21"/>
      <c r="H73" s="35"/>
    </row>
    <row r="74" spans="3:9" x14ac:dyDescent="0.25">
      <c r="C74" s="26"/>
      <c r="D74" s="23"/>
      <c r="E74" s="21"/>
      <c r="F74" s="21"/>
      <c r="G74" s="21"/>
      <c r="H74" s="35"/>
    </row>
    <row r="75" spans="3:9" x14ac:dyDescent="0.25">
      <c r="C75" s="26">
        <v>0.59899999999999998</v>
      </c>
      <c r="D75" s="420" t="s">
        <v>196</v>
      </c>
      <c r="E75" s="21">
        <f>AVERAGE(C75:C77)</f>
        <v>0.629</v>
      </c>
      <c r="F75" s="21">
        <f>176.62*E75 - 13.972</f>
        <v>97.121980000000008</v>
      </c>
      <c r="G75" s="21">
        <v>99.818525000000008</v>
      </c>
      <c r="H75" s="35">
        <f>AVERAGE(F75:G75)</f>
        <v>98.470252500000015</v>
      </c>
    </row>
    <row r="76" spans="3:9" x14ac:dyDescent="0.25">
      <c r="C76" s="26">
        <v>0.65900000000000003</v>
      </c>
      <c r="D76" s="419">
        <v>3538</v>
      </c>
      <c r="E76" s="21"/>
      <c r="F76" s="21"/>
      <c r="G76" s="21"/>
      <c r="H76" s="35"/>
    </row>
    <row r="77" spans="3:9" x14ac:dyDescent="0.25">
      <c r="C77" s="26"/>
      <c r="D77" s="23"/>
      <c r="E77" s="21"/>
      <c r="F77" s="21"/>
      <c r="G77" s="21"/>
      <c r="H77" s="35"/>
    </row>
    <row r="78" spans="3:9" x14ac:dyDescent="0.25">
      <c r="C78" s="26">
        <v>0.39700000000000002</v>
      </c>
      <c r="D78" s="420" t="s">
        <v>196</v>
      </c>
      <c r="E78" s="21">
        <f>AVERAGE(C78:C80)</f>
        <v>0.42800000000000005</v>
      </c>
      <c r="F78" s="21">
        <f>176.62*E78 - 13.972</f>
        <v>61.621360000000003</v>
      </c>
      <c r="G78" s="21">
        <v>71.900374999999997</v>
      </c>
      <c r="H78" s="35">
        <f>AVERAGE(F78:G78)</f>
        <v>66.760867500000003</v>
      </c>
      <c r="I78" s="137"/>
    </row>
    <row r="79" spans="3:9" x14ac:dyDescent="0.25">
      <c r="C79" s="26">
        <v>0.45900000000000002</v>
      </c>
      <c r="D79" s="419">
        <v>3464</v>
      </c>
      <c r="E79" s="21"/>
      <c r="F79" s="21"/>
      <c r="G79" s="21"/>
      <c r="H79" s="35"/>
      <c r="I79" s="137"/>
    </row>
    <row r="80" spans="3:9" x14ac:dyDescent="0.25">
      <c r="C80" s="26"/>
      <c r="D80" s="421"/>
      <c r="E80" s="21"/>
      <c r="F80" s="21"/>
      <c r="G80" s="21"/>
      <c r="H80" s="35"/>
      <c r="I80" s="137"/>
    </row>
    <row r="81" spans="3:9" x14ac:dyDescent="0.25">
      <c r="C81" s="26">
        <v>0.46</v>
      </c>
      <c r="D81" s="420" t="s">
        <v>196</v>
      </c>
      <c r="E81" s="21">
        <f>AVERAGE(C81:C83)</f>
        <v>0.47399999999999998</v>
      </c>
      <c r="F81" s="21">
        <f>176.62*E81 - 13.972</f>
        <v>69.74588</v>
      </c>
      <c r="G81" s="21">
        <v>76.720775000000003</v>
      </c>
      <c r="H81" s="35">
        <f>AVERAGE(F81:G81)</f>
        <v>73.233327500000001</v>
      </c>
      <c r="I81" s="137"/>
    </row>
    <row r="82" spans="3:9" x14ac:dyDescent="0.25">
      <c r="C82" s="26">
        <v>0.48799999999999999</v>
      </c>
      <c r="D82" s="419">
        <v>3511</v>
      </c>
      <c r="E82" s="21"/>
      <c r="F82" s="21"/>
      <c r="G82" s="21"/>
      <c r="H82" s="35"/>
      <c r="I82" s="137"/>
    </row>
    <row r="83" spans="3:9" x14ac:dyDescent="0.25">
      <c r="C83" s="26"/>
      <c r="D83" s="23"/>
      <c r="E83" s="21"/>
      <c r="F83" s="21"/>
      <c r="G83" s="21"/>
      <c r="H83" s="35"/>
      <c r="I83" s="137"/>
    </row>
    <row r="84" spans="3:9" x14ac:dyDescent="0.25">
      <c r="C84" s="26">
        <v>0.38300000000000001</v>
      </c>
      <c r="D84" s="420" t="s">
        <v>196</v>
      </c>
      <c r="E84" s="21">
        <f>AVERAGE(C84:C86)</f>
        <v>0.375</v>
      </c>
      <c r="F84" s="21">
        <f>176.62*E84 - 13.972</f>
        <v>52.2605</v>
      </c>
      <c r="G84" s="21">
        <v>59.045974999999999</v>
      </c>
      <c r="H84" s="35">
        <f>AVERAGE(F84:G84)</f>
        <v>55.653237500000003</v>
      </c>
      <c r="I84" s="137"/>
    </row>
    <row r="85" spans="3:9" x14ac:dyDescent="0.25">
      <c r="C85" s="26">
        <v>0.36699999999999999</v>
      </c>
      <c r="D85" s="419">
        <v>3595</v>
      </c>
      <c r="E85" s="21"/>
      <c r="F85" s="21"/>
      <c r="G85" s="21"/>
      <c r="H85" s="35"/>
    </row>
    <row r="86" spans="3:9" x14ac:dyDescent="0.25">
      <c r="C86" s="26"/>
      <c r="D86" s="23"/>
      <c r="E86" s="21"/>
      <c r="F86" s="21"/>
      <c r="G86" s="21"/>
      <c r="H86" s="35"/>
    </row>
    <row r="87" spans="3:9" x14ac:dyDescent="0.25">
      <c r="C87" s="26">
        <v>0.33100000000000002</v>
      </c>
      <c r="D87" s="420" t="s">
        <v>196</v>
      </c>
      <c r="E87" s="21">
        <f>AVERAGE(C87:C89)</f>
        <v>0.308</v>
      </c>
      <c r="F87" s="21">
        <f>176.62*E87 - 13.972</f>
        <v>40.426960000000001</v>
      </c>
      <c r="G87" s="21">
        <v>64.067224999999993</v>
      </c>
      <c r="H87" s="35">
        <f>AVERAGE(F87:G87)</f>
        <v>52.247092499999994</v>
      </c>
    </row>
    <row r="88" spans="3:9" x14ac:dyDescent="0.25">
      <c r="C88" s="26">
        <v>0.28499999999999998</v>
      </c>
      <c r="D88" s="419">
        <v>3541</v>
      </c>
      <c r="E88" s="21"/>
      <c r="F88" s="21"/>
      <c r="G88" s="21"/>
      <c r="H88" s="35"/>
    </row>
    <row r="89" spans="3:9" x14ac:dyDescent="0.25">
      <c r="C89" s="26"/>
      <c r="D89" s="23"/>
      <c r="E89" s="21"/>
      <c r="F89" s="21"/>
      <c r="G89" s="21"/>
      <c r="H89" s="35"/>
    </row>
    <row r="90" spans="3:9" x14ac:dyDescent="0.25">
      <c r="C90" s="26">
        <v>0.51200000000000001</v>
      </c>
      <c r="D90" s="420" t="s">
        <v>196</v>
      </c>
      <c r="E90" s="21">
        <f>AVERAGE(C90:C92)</f>
        <v>0.53</v>
      </c>
      <c r="F90" s="21">
        <f>176.62*E90 - 13.972</f>
        <v>79.636600000000016</v>
      </c>
      <c r="G90" s="21">
        <v>80.135224999999991</v>
      </c>
      <c r="H90" s="35">
        <f>AVERAGE(F90:G90)</f>
        <v>79.885912500000003</v>
      </c>
    </row>
    <row r="91" spans="3:9" ht="13.8" thickBot="1" x14ac:dyDescent="0.3">
      <c r="C91" s="27">
        <v>0.54800000000000004</v>
      </c>
      <c r="D91" s="422">
        <v>3461</v>
      </c>
      <c r="E91" s="29"/>
      <c r="F91" s="29"/>
      <c r="G91" s="29"/>
      <c r="H91" s="36"/>
    </row>
    <row r="92" spans="3:9" x14ac:dyDescent="0.25">
      <c r="D92" s="1"/>
    </row>
    <row r="93" spans="3:9" x14ac:dyDescent="0.25">
      <c r="D93" s="5"/>
    </row>
    <row r="94" spans="3:9" x14ac:dyDescent="0.25">
      <c r="D94" s="51"/>
    </row>
    <row r="95" spans="3:9" x14ac:dyDescent="0.25">
      <c r="D95" s="51"/>
    </row>
    <row r="96" spans="3:9" x14ac:dyDescent="0.25">
      <c r="D96" s="5"/>
    </row>
    <row r="97" spans="4:4" x14ac:dyDescent="0.25">
      <c r="D97" s="51"/>
    </row>
    <row r="98" spans="4:4" x14ac:dyDescent="0.25">
      <c r="D98" s="1"/>
    </row>
    <row r="99" spans="4:4" x14ac:dyDescent="0.25">
      <c r="D99" s="5"/>
    </row>
    <row r="100" spans="4:4" x14ac:dyDescent="0.25">
      <c r="D100" s="51"/>
    </row>
    <row r="101" spans="4:4" x14ac:dyDescent="0.25">
      <c r="D101" s="51"/>
    </row>
    <row r="102" spans="4:4" x14ac:dyDescent="0.25">
      <c r="D102" s="5"/>
    </row>
    <row r="103" spans="4:4" x14ac:dyDescent="0.25">
      <c r="D103" s="51"/>
    </row>
    <row r="104" spans="4:4" x14ac:dyDescent="0.25">
      <c r="D104" s="51"/>
    </row>
    <row r="105" spans="4:4" x14ac:dyDescent="0.25">
      <c r="D105" s="5"/>
    </row>
    <row r="106" spans="4:4" x14ac:dyDescent="0.25">
      <c r="D106" s="51"/>
    </row>
    <row r="107" spans="4:4" x14ac:dyDescent="0.25">
      <c r="D107" s="1"/>
    </row>
    <row r="108" spans="4:4" x14ac:dyDescent="0.25">
      <c r="D108" s="5"/>
    </row>
    <row r="109" spans="4:4" x14ac:dyDescent="0.25">
      <c r="D109" s="51"/>
    </row>
    <row r="110" spans="4:4" x14ac:dyDescent="0.25">
      <c r="D110" s="51"/>
    </row>
    <row r="111" spans="4:4" x14ac:dyDescent="0.25">
      <c r="D111" s="5"/>
    </row>
    <row r="112" spans="4:4" x14ac:dyDescent="0.25">
      <c r="D112" s="51"/>
    </row>
    <row r="113" spans="4:4" x14ac:dyDescent="0.25">
      <c r="D113" s="1"/>
    </row>
    <row r="114" spans="4:4" x14ac:dyDescent="0.25">
      <c r="D114" s="5"/>
    </row>
    <row r="115" spans="4:4" x14ac:dyDescent="0.25">
      <c r="D115" s="51"/>
    </row>
    <row r="116" spans="4:4" x14ac:dyDescent="0.25">
      <c r="D116" s="51"/>
    </row>
    <row r="117" spans="4:4" x14ac:dyDescent="0.25">
      <c r="D117" s="5"/>
    </row>
    <row r="118" spans="4:4" x14ac:dyDescent="0.25">
      <c r="D118" s="51"/>
    </row>
    <row r="119" spans="4:4" x14ac:dyDescent="0.25">
      <c r="D119" s="51"/>
    </row>
    <row r="120" spans="4:4" x14ac:dyDescent="0.25">
      <c r="D120" s="5"/>
    </row>
    <row r="121" spans="4:4" x14ac:dyDescent="0.25">
      <c r="D121" s="51"/>
    </row>
    <row r="122" spans="4:4" x14ac:dyDescent="0.25">
      <c r="D122" s="1"/>
    </row>
    <row r="123" spans="4:4" x14ac:dyDescent="0.25">
      <c r="D123" s="5"/>
    </row>
    <row r="124" spans="4:4" x14ac:dyDescent="0.25">
      <c r="D124" s="51"/>
    </row>
    <row r="125" spans="4:4" x14ac:dyDescent="0.25">
      <c r="D125" s="1"/>
    </row>
    <row r="126" spans="4:4" x14ac:dyDescent="0.25">
      <c r="D126" s="5"/>
    </row>
    <row r="127" spans="4:4" x14ac:dyDescent="0.25">
      <c r="D127" s="51"/>
    </row>
    <row r="128" spans="4:4" x14ac:dyDescent="0.25">
      <c r="D128" s="1"/>
    </row>
    <row r="129" spans="4:4" x14ac:dyDescent="0.25">
      <c r="D129" s="5"/>
    </row>
    <row r="130" spans="4:4" x14ac:dyDescent="0.25">
      <c r="D130" s="51"/>
    </row>
    <row r="131" spans="4:4" x14ac:dyDescent="0.25">
      <c r="D131" s="1"/>
    </row>
    <row r="132" spans="4:4" x14ac:dyDescent="0.25">
      <c r="D132" s="5"/>
    </row>
    <row r="133" spans="4:4" x14ac:dyDescent="0.25">
      <c r="D133" s="51"/>
    </row>
    <row r="134" spans="4:4" x14ac:dyDescent="0.25">
      <c r="D134" s="1"/>
    </row>
    <row r="135" spans="4:4" x14ac:dyDescent="0.25">
      <c r="D135" s="5"/>
    </row>
    <row r="136" spans="4:4" x14ac:dyDescent="0.25">
      <c r="D136" s="51"/>
    </row>
    <row r="137" spans="4:4" x14ac:dyDescent="0.25">
      <c r="D137" s="1"/>
    </row>
    <row r="138" spans="4:4" x14ac:dyDescent="0.25">
      <c r="D138" s="5"/>
    </row>
    <row r="139" spans="4:4" x14ac:dyDescent="0.25">
      <c r="D139" s="51"/>
    </row>
    <row r="140" spans="4:4" x14ac:dyDescent="0.25">
      <c r="D140" s="1"/>
    </row>
    <row r="141" spans="4:4" x14ac:dyDescent="0.25">
      <c r="D141" s="5"/>
    </row>
    <row r="142" spans="4:4" x14ac:dyDescent="0.25">
      <c r="D142" s="51"/>
    </row>
    <row r="143" spans="4:4" x14ac:dyDescent="0.25">
      <c r="D143" s="1"/>
    </row>
    <row r="144" spans="4:4" x14ac:dyDescent="0.25">
      <c r="D144" s="5"/>
    </row>
    <row r="145" spans="4:4" x14ac:dyDescent="0.25">
      <c r="D145" s="51"/>
    </row>
    <row r="146" spans="4:4" x14ac:dyDescent="0.25">
      <c r="D146" s="1"/>
    </row>
    <row r="147" spans="4:4" x14ac:dyDescent="0.25">
      <c r="D147" s="5"/>
    </row>
    <row r="148" spans="4:4" x14ac:dyDescent="0.25">
      <c r="D148" s="51"/>
    </row>
    <row r="149" spans="4:4" x14ac:dyDescent="0.25">
      <c r="D149" s="1"/>
    </row>
    <row r="150" spans="4:4" x14ac:dyDescent="0.25">
      <c r="D150" s="5"/>
    </row>
    <row r="151" spans="4:4" x14ac:dyDescent="0.25">
      <c r="D151" s="51"/>
    </row>
    <row r="152" spans="4:4" x14ac:dyDescent="0.25">
      <c r="D152" s="1"/>
    </row>
    <row r="153" spans="4:4" x14ac:dyDescent="0.25">
      <c r="D153" s="5"/>
    </row>
    <row r="154" spans="4:4" x14ac:dyDescent="0.25">
      <c r="D154" s="51"/>
    </row>
    <row r="155" spans="4:4" x14ac:dyDescent="0.25">
      <c r="D155" s="1"/>
    </row>
    <row r="156" spans="4:4" x14ac:dyDescent="0.25">
      <c r="D156" s="5"/>
    </row>
    <row r="157" spans="4:4" x14ac:dyDescent="0.25">
      <c r="D157" s="51"/>
    </row>
    <row r="158" spans="4:4" x14ac:dyDescent="0.25">
      <c r="D158" s="1"/>
    </row>
    <row r="159" spans="4:4" x14ac:dyDescent="0.25">
      <c r="D159" s="5"/>
    </row>
    <row r="160" spans="4:4" x14ac:dyDescent="0.25">
      <c r="D160" s="51"/>
    </row>
    <row r="161" spans="4:4" x14ac:dyDescent="0.25">
      <c r="D161" s="1"/>
    </row>
    <row r="162" spans="4:4" x14ac:dyDescent="0.25">
      <c r="D162" s="5"/>
    </row>
    <row r="163" spans="4:4" x14ac:dyDescent="0.25">
      <c r="D163" s="51"/>
    </row>
    <row r="164" spans="4:4" x14ac:dyDescent="0.25">
      <c r="D164" s="1"/>
    </row>
    <row r="165" spans="4:4" x14ac:dyDescent="0.25">
      <c r="D165" s="5"/>
    </row>
    <row r="166" spans="4:4" x14ac:dyDescent="0.25">
      <c r="D166" s="51"/>
    </row>
    <row r="167" spans="4:4" x14ac:dyDescent="0.25">
      <c r="D167" s="1"/>
    </row>
    <row r="168" spans="4:4" x14ac:dyDescent="0.25">
      <c r="D168" s="1"/>
    </row>
    <row r="169" spans="4:4" x14ac:dyDescent="0.25">
      <c r="D169" s="5"/>
    </row>
    <row r="170" spans="4:4" x14ac:dyDescent="0.25">
      <c r="D170" s="51"/>
    </row>
    <row r="171" spans="4:4" x14ac:dyDescent="0.25">
      <c r="D171" s="1"/>
    </row>
    <row r="172" spans="4:4" x14ac:dyDescent="0.25">
      <c r="D172" s="5"/>
    </row>
    <row r="173" spans="4:4" x14ac:dyDescent="0.25">
      <c r="D173" s="51"/>
    </row>
    <row r="174" spans="4:4" x14ac:dyDescent="0.25">
      <c r="D174" s="1"/>
    </row>
    <row r="175" spans="4:4" x14ac:dyDescent="0.25">
      <c r="D175" s="5"/>
    </row>
    <row r="176" spans="4:4" x14ac:dyDescent="0.25">
      <c r="D176" s="51"/>
    </row>
    <row r="177" spans="3:6" x14ac:dyDescent="0.25">
      <c r="D177" s="1"/>
    </row>
    <row r="178" spans="3:6" x14ac:dyDescent="0.25">
      <c r="D178" s="5"/>
    </row>
    <row r="179" spans="3:6" x14ac:dyDescent="0.25">
      <c r="D179" s="51"/>
    </row>
    <row r="180" spans="3:6" x14ac:dyDescent="0.25">
      <c r="D180" s="1"/>
    </row>
    <row r="181" spans="3:6" x14ac:dyDescent="0.25">
      <c r="D181" s="5"/>
    </row>
    <row r="182" spans="3:6" x14ac:dyDescent="0.25">
      <c r="D182" s="51"/>
    </row>
    <row r="183" spans="3:6" x14ac:dyDescent="0.25">
      <c r="D183" s="1"/>
    </row>
    <row r="184" spans="3:6" x14ac:dyDescent="0.25">
      <c r="D184" s="5"/>
    </row>
    <row r="185" spans="3:6" x14ac:dyDescent="0.25">
      <c r="D185" s="51"/>
    </row>
    <row r="186" spans="3:6" x14ac:dyDescent="0.25">
      <c r="D186" s="1"/>
    </row>
    <row r="187" spans="3:6" x14ac:dyDescent="0.25">
      <c r="D187" s="5"/>
    </row>
    <row r="188" spans="3:6" x14ac:dyDescent="0.25">
      <c r="D188" s="51"/>
    </row>
    <row r="189" spans="3:6" x14ac:dyDescent="0.25">
      <c r="D189" s="1"/>
    </row>
    <row r="190" spans="3:6" x14ac:dyDescent="0.25">
      <c r="D190" s="5"/>
    </row>
    <row r="191" spans="3:6" x14ac:dyDescent="0.25">
      <c r="D191" s="51"/>
    </row>
    <row r="192" spans="3:6" x14ac:dyDescent="0.25">
      <c r="C192" s="423"/>
      <c r="D192" s="424"/>
      <c r="E192" s="425"/>
      <c r="F192" s="426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77"/>
  <sheetViews>
    <sheetView topLeftCell="D70" workbookViewId="0">
      <selection activeCell="M68" sqref="M68"/>
    </sheetView>
  </sheetViews>
  <sheetFormatPr defaultRowHeight="13.2" x14ac:dyDescent="0.25"/>
  <cols>
    <col min="1" max="1" width="8" customWidth="1"/>
    <col min="2" max="2" width="17.109375" customWidth="1"/>
    <col min="3" max="3" width="10.21875" bestFit="1" customWidth="1"/>
    <col min="4" max="4" width="25.5546875" customWidth="1"/>
    <col min="8" max="8" width="13.33203125" customWidth="1"/>
    <col min="9" max="9" width="12.109375" customWidth="1"/>
    <col min="10" max="10" width="12.88671875" customWidth="1"/>
    <col min="12" max="12" width="21.77734375" customWidth="1"/>
    <col min="13" max="13" width="12.21875" customWidth="1"/>
    <col min="14" max="14" width="12" customWidth="1"/>
    <col min="15" max="16" width="10.77734375" customWidth="1"/>
    <col min="17" max="17" width="11.21875" customWidth="1"/>
  </cols>
  <sheetData>
    <row r="1" spans="1:21" ht="13.8" thickBot="1" x14ac:dyDescent="0.3">
      <c r="A1" s="8" t="s">
        <v>200</v>
      </c>
      <c r="B1" s="8"/>
    </row>
    <row r="2" spans="1:21" ht="16.2" thickBot="1" x14ac:dyDescent="0.35">
      <c r="A2" s="8" t="s">
        <v>201</v>
      </c>
      <c r="B2" s="8"/>
      <c r="C2" s="10"/>
      <c r="D2" s="9">
        <v>45059</v>
      </c>
      <c r="J2" s="8"/>
    </row>
    <row r="3" spans="1:21" ht="13.8" thickBot="1" x14ac:dyDescent="0.3">
      <c r="A3" s="8" t="s">
        <v>202</v>
      </c>
      <c r="B3" s="55"/>
      <c r="C3" s="3"/>
      <c r="L3" s="3"/>
    </row>
    <row r="4" spans="1:21" ht="13.8" thickBot="1" x14ac:dyDescent="0.3">
      <c r="A4" s="8" t="s">
        <v>203</v>
      </c>
      <c r="B4" s="55"/>
      <c r="D4" s="795" t="s">
        <v>306</v>
      </c>
    </row>
    <row r="5" spans="1:21" ht="13.8" thickBot="1" x14ac:dyDescent="0.3">
      <c r="F5" s="403" t="s">
        <v>5</v>
      </c>
      <c r="G5" s="403" t="s">
        <v>6</v>
      </c>
      <c r="H5" s="403" t="s">
        <v>7</v>
      </c>
      <c r="I5" s="403" t="s">
        <v>204</v>
      </c>
      <c r="J5" s="403"/>
    </row>
    <row r="6" spans="1:21" x14ac:dyDescent="0.25">
      <c r="A6">
        <v>2.5642</v>
      </c>
      <c r="B6">
        <v>400</v>
      </c>
      <c r="C6" s="24">
        <v>0.67420000000000002</v>
      </c>
      <c r="D6" s="507" t="s">
        <v>314</v>
      </c>
      <c r="E6" s="25"/>
      <c r="F6" s="25"/>
      <c r="G6" s="25"/>
      <c r="H6" s="25"/>
      <c r="I6" s="52"/>
      <c r="S6" s="1"/>
      <c r="T6" s="1"/>
      <c r="U6" s="2"/>
    </row>
    <row r="7" spans="1:21" x14ac:dyDescent="0.25">
      <c r="A7">
        <v>2.4853000000000001</v>
      </c>
      <c r="B7">
        <v>400</v>
      </c>
      <c r="C7" s="26">
        <v>0.59309999999999996</v>
      </c>
      <c r="D7" s="508">
        <v>7976</v>
      </c>
      <c r="E7" s="21">
        <f>AVERAGE(C6:C8)</f>
        <v>0.63365000000000005</v>
      </c>
      <c r="F7" s="21">
        <f>167.77*E7 - 15.94</f>
        <v>90.367460500000021</v>
      </c>
      <c r="G7" s="21">
        <v>56.297189999999979</v>
      </c>
      <c r="H7" s="21">
        <f>AVERAGE(F7:G7)</f>
        <v>73.332325249999997</v>
      </c>
      <c r="I7" s="35">
        <f>H7-78.79</f>
        <v>-5.4576747500000096</v>
      </c>
      <c r="S7" s="1"/>
      <c r="T7" s="1"/>
      <c r="U7" s="2"/>
    </row>
    <row r="8" spans="1:21" ht="13.8" thickBot="1" x14ac:dyDescent="0.3">
      <c r="B8">
        <v>400</v>
      </c>
      <c r="C8" s="26"/>
      <c r="D8" s="212"/>
      <c r="E8" s="21"/>
      <c r="F8" s="21"/>
      <c r="G8" s="21"/>
      <c r="H8" s="21"/>
      <c r="I8" s="35"/>
      <c r="S8" s="1"/>
      <c r="T8" s="1"/>
      <c r="U8" s="2"/>
    </row>
    <row r="9" spans="1:21" x14ac:dyDescent="0.25">
      <c r="A9">
        <v>1.1214</v>
      </c>
      <c r="B9">
        <v>200</v>
      </c>
      <c r="C9" s="26">
        <v>0.54820000000000002</v>
      </c>
      <c r="D9" s="507" t="s">
        <v>314</v>
      </c>
      <c r="E9" s="21">
        <f>AVERAGE(C9:C11)</f>
        <v>0.55774999999999997</v>
      </c>
      <c r="F9" s="21">
        <f>167.77*E9 - 15.94</f>
        <v>77.633717500000003</v>
      </c>
      <c r="G9" s="21">
        <v>59.605669999999982</v>
      </c>
      <c r="H9" s="21">
        <f>AVERAGE(F9:G9)</f>
        <v>68.619693749999996</v>
      </c>
      <c r="I9" s="35">
        <f>H9-78.79</f>
        <v>-10.17030625000001</v>
      </c>
      <c r="S9" s="1"/>
      <c r="T9" s="1"/>
      <c r="U9" s="2"/>
    </row>
    <row r="10" spans="1:21" ht="15.75" customHeight="1" x14ac:dyDescent="0.25">
      <c r="A10">
        <v>1.1385000000000001</v>
      </c>
      <c r="B10">
        <v>200</v>
      </c>
      <c r="C10" s="26">
        <v>0.56730000000000003</v>
      </c>
      <c r="D10" s="508">
        <v>8057</v>
      </c>
      <c r="E10" s="21"/>
      <c r="F10" s="21"/>
      <c r="G10" s="21"/>
      <c r="H10" s="21"/>
      <c r="I10" s="35"/>
      <c r="S10" s="1"/>
      <c r="T10" s="1"/>
      <c r="U10" s="2"/>
    </row>
    <row r="11" spans="1:21" ht="13.8" thickBot="1" x14ac:dyDescent="0.3">
      <c r="B11">
        <v>200</v>
      </c>
      <c r="C11" s="26"/>
      <c r="D11" s="212"/>
      <c r="E11" s="21"/>
      <c r="F11" s="21"/>
      <c r="G11" s="21"/>
      <c r="H11" s="21"/>
      <c r="I11" s="35"/>
      <c r="S11" s="1"/>
      <c r="T11" s="1"/>
      <c r="U11" s="2"/>
    </row>
    <row r="12" spans="1:21" x14ac:dyDescent="0.25">
      <c r="A12">
        <v>0.75470000000000004</v>
      </c>
      <c r="B12">
        <v>100</v>
      </c>
      <c r="C12" s="26">
        <v>0.68799999999999994</v>
      </c>
      <c r="D12" s="507" t="s">
        <v>314</v>
      </c>
      <c r="E12" s="21">
        <f>AVERAGE(C12:C14)</f>
        <v>0.61585000000000001</v>
      </c>
      <c r="F12" s="21">
        <f>167.77*E12 - 15.94</f>
        <v>87.381154500000008</v>
      </c>
      <c r="G12" s="21">
        <v>59.768139999999995</v>
      </c>
      <c r="H12" s="21">
        <f>AVERAGE(F12:G12)</f>
        <v>73.574647249999998</v>
      </c>
      <c r="I12" s="35">
        <f>H12-78.79</f>
        <v>-5.2153527500000081</v>
      </c>
      <c r="S12" s="1"/>
      <c r="T12" s="1"/>
      <c r="U12" s="2"/>
    </row>
    <row r="13" spans="1:21" x14ac:dyDescent="0.25">
      <c r="A13">
        <v>0.68340000000000001</v>
      </c>
      <c r="B13">
        <v>100</v>
      </c>
      <c r="C13" s="26">
        <v>0.54369999999999996</v>
      </c>
      <c r="D13" s="508">
        <v>8030</v>
      </c>
      <c r="E13" s="21"/>
      <c r="F13" s="21"/>
      <c r="G13" s="21"/>
      <c r="H13" s="21"/>
      <c r="I13" s="35"/>
      <c r="Q13" s="1"/>
      <c r="S13" s="1"/>
      <c r="T13" s="1"/>
      <c r="U13" s="2"/>
    </row>
    <row r="14" spans="1:21" ht="13.8" thickBot="1" x14ac:dyDescent="0.3">
      <c r="B14">
        <v>100</v>
      </c>
      <c r="C14" s="26"/>
      <c r="D14" s="212"/>
      <c r="E14" s="21"/>
      <c r="F14" s="21"/>
      <c r="G14" s="21"/>
      <c r="H14" s="21"/>
      <c r="I14" s="35"/>
      <c r="S14" s="1"/>
      <c r="T14" s="1"/>
      <c r="U14" s="2"/>
    </row>
    <row r="15" spans="1:21" x14ac:dyDescent="0.25">
      <c r="A15">
        <v>0.47349999999999998</v>
      </c>
      <c r="B15">
        <v>50</v>
      </c>
      <c r="C15" s="26">
        <v>0.7843</v>
      </c>
      <c r="D15" s="507" t="s">
        <v>314</v>
      </c>
      <c r="E15" s="21">
        <f>AVERAGE(C15:C17)</f>
        <v>0.73825000000000007</v>
      </c>
      <c r="F15" s="21">
        <f>167.77*E15 - 15.94</f>
        <v>107.91620250000003</v>
      </c>
      <c r="G15" s="21">
        <v>68.423360000000002</v>
      </c>
      <c r="H15" s="21">
        <f>AVERAGE(F15:G15)</f>
        <v>88.169781250000014</v>
      </c>
      <c r="I15" s="35">
        <f>H15-78.79</f>
        <v>9.3797812500000077</v>
      </c>
      <c r="Q15" s="1"/>
      <c r="S15" s="1"/>
      <c r="T15" s="1"/>
      <c r="U15" s="2"/>
    </row>
    <row r="16" spans="1:21" x14ac:dyDescent="0.25">
      <c r="A16">
        <v>0.43819999999999998</v>
      </c>
      <c r="B16">
        <v>50</v>
      </c>
      <c r="C16" s="26">
        <v>0.69220000000000004</v>
      </c>
      <c r="D16" s="508">
        <v>8038</v>
      </c>
      <c r="E16" s="21"/>
      <c r="F16" s="21"/>
      <c r="G16" s="21"/>
      <c r="H16" s="21"/>
      <c r="I16" s="35"/>
      <c r="Q16" s="1"/>
      <c r="S16" s="1"/>
      <c r="T16" s="1"/>
      <c r="U16" s="2"/>
    </row>
    <row r="17" spans="1:21" ht="13.8" thickBot="1" x14ac:dyDescent="0.3">
      <c r="B17">
        <v>50</v>
      </c>
      <c r="C17" s="26"/>
      <c r="D17" s="212"/>
      <c r="E17" s="21"/>
      <c r="F17" s="21"/>
      <c r="G17" s="21"/>
      <c r="H17" s="21"/>
      <c r="I17" s="35"/>
      <c r="S17" s="1"/>
      <c r="T17" s="1"/>
      <c r="U17" s="2"/>
    </row>
    <row r="18" spans="1:21" ht="13.8" thickBot="1" x14ac:dyDescent="0.3">
      <c r="A18">
        <v>0.28660000000000002</v>
      </c>
      <c r="B18">
        <v>25</v>
      </c>
      <c r="C18" s="26">
        <v>0.6603</v>
      </c>
      <c r="D18" s="507" t="s">
        <v>314</v>
      </c>
      <c r="E18" s="21">
        <f>AVERAGE(C18:C20)</f>
        <v>0.69185000000000008</v>
      </c>
      <c r="F18" s="21">
        <f>167.77*E18 - 15.94</f>
        <v>100.13167450000002</v>
      </c>
      <c r="G18" s="21">
        <v>69.184014999999988</v>
      </c>
      <c r="H18" s="21">
        <f>AVERAGE(F18:G18)</f>
        <v>84.65784475000001</v>
      </c>
      <c r="I18" s="35">
        <f>H18-78.79</f>
        <v>5.8678447500000033</v>
      </c>
      <c r="Q18" s="1"/>
      <c r="S18" s="1"/>
      <c r="T18" s="1"/>
      <c r="U18" s="2"/>
    </row>
    <row r="19" spans="1:21" ht="13.8" thickBot="1" x14ac:dyDescent="0.3">
      <c r="A19">
        <v>0.2742</v>
      </c>
      <c r="B19">
        <v>25</v>
      </c>
      <c r="C19" s="26">
        <v>0.72340000000000004</v>
      </c>
      <c r="D19" s="508">
        <v>7881</v>
      </c>
      <c r="E19" s="21"/>
      <c r="F19" s="21"/>
      <c r="G19" s="21"/>
      <c r="H19" s="21"/>
      <c r="I19" s="35"/>
      <c r="L19" s="797" t="s">
        <v>294</v>
      </c>
      <c r="O19" s="797" t="s">
        <v>295</v>
      </c>
      <c r="S19" s="1"/>
      <c r="T19" s="1"/>
      <c r="U19" s="2"/>
    </row>
    <row r="20" spans="1:21" ht="13.8" thickBot="1" x14ac:dyDescent="0.3">
      <c r="B20">
        <v>25</v>
      </c>
      <c r="C20" s="26"/>
      <c r="D20" s="212"/>
      <c r="E20" s="21"/>
      <c r="F20" s="21"/>
      <c r="G20" s="21"/>
      <c r="H20" s="21"/>
      <c r="I20" s="35"/>
      <c r="S20" s="1"/>
      <c r="T20" s="1"/>
      <c r="U20" s="2"/>
    </row>
    <row r="21" spans="1:21" ht="13.8" thickBot="1" x14ac:dyDescent="0.3">
      <c r="A21">
        <v>0.19309999999999999</v>
      </c>
      <c r="B21">
        <v>12.5</v>
      </c>
      <c r="C21" s="26">
        <v>0.55249999999999999</v>
      </c>
      <c r="D21" s="507" t="s">
        <v>314</v>
      </c>
      <c r="E21" s="21">
        <f>AVERAGE(C21:C23)</f>
        <v>0.58294999999999997</v>
      </c>
      <c r="F21" s="21">
        <f>167.77*E21 - 15.94</f>
        <v>81.861521500000009</v>
      </c>
      <c r="G21" s="21">
        <v>46.054195</v>
      </c>
      <c r="H21" s="21">
        <f>AVERAGE(F21:G21)</f>
        <v>63.957858250000001</v>
      </c>
      <c r="I21" s="35">
        <f>H21-78.79</f>
        <v>-14.832141750000005</v>
      </c>
      <c r="L21" s="796" t="s">
        <v>308</v>
      </c>
      <c r="M21" s="814"/>
      <c r="N21" s="815"/>
      <c r="O21" s="815"/>
      <c r="P21" s="816"/>
      <c r="Q21" s="813"/>
      <c r="S21" s="1"/>
      <c r="T21" s="1"/>
      <c r="U21" s="2"/>
    </row>
    <row r="22" spans="1:21" ht="13.8" thickBot="1" x14ac:dyDescent="0.3">
      <c r="A22">
        <v>0.188</v>
      </c>
      <c r="B22">
        <v>12.5</v>
      </c>
      <c r="C22" s="26">
        <v>0.61339999999999995</v>
      </c>
      <c r="D22" s="508">
        <v>8029</v>
      </c>
      <c r="E22" s="21"/>
      <c r="F22" s="21"/>
      <c r="G22" s="21"/>
      <c r="H22" s="21"/>
      <c r="I22" s="35"/>
      <c r="L22" s="817"/>
      <c r="M22" s="509" t="s">
        <v>7</v>
      </c>
      <c r="N22" s="510" t="s">
        <v>13</v>
      </c>
      <c r="O22" s="511" t="s">
        <v>204</v>
      </c>
      <c r="P22" s="512" t="s">
        <v>13</v>
      </c>
      <c r="Q22" s="1"/>
      <c r="R22" s="1"/>
      <c r="S22" s="2"/>
    </row>
    <row r="23" spans="1:21" ht="13.8" thickBot="1" x14ac:dyDescent="0.3">
      <c r="B23">
        <v>12.5</v>
      </c>
      <c r="C23" s="26"/>
      <c r="D23" s="212"/>
      <c r="E23" s="21"/>
      <c r="F23" s="21"/>
      <c r="G23" s="21"/>
      <c r="H23" s="21"/>
      <c r="I23" s="35"/>
      <c r="L23" s="818" t="s">
        <v>314</v>
      </c>
      <c r="M23" s="833">
        <f>AVERAGE(H7:H30)</f>
        <v>75.661356361111118</v>
      </c>
      <c r="N23" s="834">
        <f>STDEV(H7:H30)/SQRT(COUNT(H7:H30))</f>
        <v>2.6403700884859385</v>
      </c>
      <c r="O23" s="835">
        <f>AVERAGE(I7:I31)</f>
        <v>-3.128643638888895</v>
      </c>
      <c r="P23" s="834">
        <f>STDEV(I7:I30)/SQRT(COUNT(I7:I30))</f>
        <v>2.6403700884859385</v>
      </c>
      <c r="Q23" s="1"/>
      <c r="R23" s="1"/>
      <c r="S23" s="2"/>
    </row>
    <row r="24" spans="1:21" ht="13.8" thickBot="1" x14ac:dyDescent="0.3">
      <c r="A24">
        <v>0.10249999999999999</v>
      </c>
      <c r="B24">
        <v>6.25</v>
      </c>
      <c r="C24" s="26">
        <v>0.58560000000000001</v>
      </c>
      <c r="D24" s="507" t="s">
        <v>314</v>
      </c>
      <c r="E24" s="21"/>
      <c r="F24" s="21"/>
      <c r="G24" s="21"/>
      <c r="H24" s="21"/>
      <c r="I24" s="35"/>
      <c r="L24" s="817"/>
      <c r="M24" s="836"/>
      <c r="N24" s="837"/>
      <c r="O24" s="838"/>
      <c r="P24" s="837"/>
      <c r="Q24" s="1"/>
      <c r="R24" s="1"/>
      <c r="S24" s="2"/>
    </row>
    <row r="25" spans="1:21" ht="13.8" thickBot="1" x14ac:dyDescent="0.3">
      <c r="A25">
        <v>0.1147</v>
      </c>
      <c r="B25">
        <v>6.25</v>
      </c>
      <c r="C25" s="26">
        <v>0.62770000000000004</v>
      </c>
      <c r="D25" s="508">
        <v>6678</v>
      </c>
      <c r="E25" s="21">
        <f>AVERAGE(C24:C26)</f>
        <v>0.60665000000000002</v>
      </c>
      <c r="F25" s="21">
        <f>167.77*E25 - 15.94</f>
        <v>85.837670500000016</v>
      </c>
      <c r="G25" s="21">
        <v>56.725519999999982</v>
      </c>
      <c r="H25" s="21">
        <f>AVERAGE(F25:G25)</f>
        <v>71.281595249999995</v>
      </c>
      <c r="I25" s="35">
        <f>H25-78.79</f>
        <v>-7.5084047500000111</v>
      </c>
      <c r="L25" s="802" t="s">
        <v>304</v>
      </c>
      <c r="M25" s="836">
        <f>AVERAGE(H33:H48)</f>
        <v>78.786398041666658</v>
      </c>
      <c r="N25" s="837">
        <f>STDEV(H33:H36,H39:H48)/SQRT(COUNT(H33:H36,H39:H48))</f>
        <v>3.4246063587774569</v>
      </c>
      <c r="O25" s="839"/>
      <c r="P25" s="837"/>
      <c r="Q25" s="1"/>
      <c r="R25" s="1"/>
      <c r="S25" s="2"/>
    </row>
    <row r="26" spans="1:21" ht="13.8" thickBot="1" x14ac:dyDescent="0.3">
      <c r="B26">
        <v>6.25</v>
      </c>
      <c r="C26" s="26"/>
      <c r="D26" s="212"/>
      <c r="E26" s="21"/>
      <c r="F26" s="21"/>
      <c r="G26" s="21"/>
      <c r="H26" s="21"/>
      <c r="I26" s="35"/>
      <c r="L26" s="819"/>
      <c r="M26" s="836"/>
      <c r="N26" s="837"/>
      <c r="O26" s="838"/>
      <c r="P26" s="837"/>
      <c r="Q26" s="1"/>
      <c r="R26" s="1"/>
      <c r="S26" s="2"/>
    </row>
    <row r="27" spans="1:21" ht="13.8" thickBot="1" x14ac:dyDescent="0.3">
      <c r="A27">
        <v>8.6199999999999999E-2</v>
      </c>
      <c r="B27">
        <v>0</v>
      </c>
      <c r="C27" s="26">
        <v>0.6381</v>
      </c>
      <c r="D27" s="507" t="s">
        <v>314</v>
      </c>
      <c r="E27" s="21">
        <f>AVERAGE(C27:C29)</f>
        <v>0.67125000000000001</v>
      </c>
      <c r="F27" s="21">
        <f>167.77*E27 - 15.94</f>
        <v>96.675612500000014</v>
      </c>
      <c r="G27" s="21">
        <v>68.534134999999992</v>
      </c>
      <c r="H27" s="21">
        <f>AVERAGE(F27:G27)</f>
        <v>82.604873749999996</v>
      </c>
      <c r="I27" s="35">
        <f>H27-78.79</f>
        <v>3.8148737499999896</v>
      </c>
      <c r="L27" s="803" t="s">
        <v>315</v>
      </c>
      <c r="M27" s="840">
        <f>AVERAGE(H51:H72)</f>
        <v>93.224822687500009</v>
      </c>
      <c r="N27" s="837">
        <f>STDEV(H51:H72)/SQRT(COUNT(H51:H72))</f>
        <v>5.331405907958783</v>
      </c>
      <c r="O27" s="839">
        <f>AVERAGE(I51:I72)</f>
        <v>11.834822687500004</v>
      </c>
      <c r="P27" s="837">
        <f>STDEV(I51:I72)/SQRT(COUNT(I51:I72))</f>
        <v>5.3314059079587883</v>
      </c>
      <c r="Q27" s="1"/>
      <c r="R27" s="1"/>
      <c r="S27" s="2"/>
    </row>
    <row r="28" spans="1:21" ht="13.8" thickBot="1" x14ac:dyDescent="0.3">
      <c r="A28">
        <v>7.8E-2</v>
      </c>
      <c r="B28">
        <v>0</v>
      </c>
      <c r="C28" s="26">
        <v>0.70440000000000003</v>
      </c>
      <c r="D28" s="508">
        <v>8027</v>
      </c>
      <c r="E28" s="21"/>
      <c r="F28" s="21"/>
      <c r="G28" s="21"/>
      <c r="H28" s="21"/>
      <c r="I28" s="35"/>
      <c r="L28" s="817"/>
      <c r="M28" s="836"/>
      <c r="N28" s="837"/>
      <c r="O28" s="838"/>
      <c r="P28" s="837"/>
      <c r="Q28" s="1"/>
      <c r="R28" s="1"/>
      <c r="S28" s="2"/>
    </row>
    <row r="29" spans="1:21" ht="13.8" thickBot="1" x14ac:dyDescent="0.3">
      <c r="C29" s="26"/>
      <c r="D29" s="212"/>
      <c r="E29" s="21"/>
      <c r="F29" s="21"/>
      <c r="G29" s="21"/>
      <c r="H29" s="21"/>
      <c r="I29" s="35"/>
      <c r="L29" s="800" t="s">
        <v>305</v>
      </c>
      <c r="M29" s="840">
        <f>AVERAGE(H75:H96)</f>
        <v>81.393946343750002</v>
      </c>
      <c r="N29" s="837">
        <f>STDEV(H75:H96)/SQRT(COUNT(H75:H96))</f>
        <v>3.9718979509061461</v>
      </c>
      <c r="O29" s="841"/>
      <c r="P29" s="842"/>
      <c r="Q29" s="1"/>
      <c r="R29" s="1"/>
      <c r="S29" s="2"/>
    </row>
    <row r="30" spans="1:21" ht="14.4" thickBot="1" x14ac:dyDescent="0.3">
      <c r="C30" s="26">
        <v>0.62350000000000005</v>
      </c>
      <c r="D30" s="507" t="s">
        <v>314</v>
      </c>
      <c r="E30" s="21">
        <f>AVERAGE(C30:C32)</f>
        <v>0.60565000000000002</v>
      </c>
      <c r="F30" s="21">
        <f>167.77*E30 - 15.94</f>
        <v>85.669900500000011</v>
      </c>
      <c r="G30" s="21">
        <v>63.837274999999984</v>
      </c>
      <c r="H30" s="21">
        <f>AVERAGE(F30:G30)</f>
        <v>74.753587749999994</v>
      </c>
      <c r="I30" s="35">
        <f>H30-78.79</f>
        <v>-4.0364122500000121</v>
      </c>
      <c r="L30" s="820"/>
      <c r="M30" s="513"/>
      <c r="N30" s="293"/>
      <c r="P30" s="821"/>
      <c r="Q30" s="1"/>
      <c r="R30" s="1"/>
      <c r="S30" s="2"/>
    </row>
    <row r="31" spans="1:21" ht="14.4" thickBot="1" x14ac:dyDescent="0.3">
      <c r="C31" s="26">
        <v>0.58779999999999999</v>
      </c>
      <c r="D31" s="508">
        <v>7557</v>
      </c>
      <c r="E31" s="21"/>
      <c r="F31" s="21"/>
      <c r="G31" s="21"/>
      <c r="H31" s="21"/>
      <c r="I31" s="35"/>
      <c r="L31" s="801" t="s">
        <v>307</v>
      </c>
      <c r="M31" s="843">
        <f>AVERAGE(H99:H114)</f>
        <v>92.088390875000016</v>
      </c>
      <c r="N31" s="842">
        <f>STDEV(H99:H116)/SQRT(COUNT(H99:H116))</f>
        <v>5.5624170983684982</v>
      </c>
      <c r="P31" s="821"/>
      <c r="Q31" s="1"/>
      <c r="R31" s="1"/>
      <c r="S31" s="2"/>
    </row>
    <row r="32" spans="1:21" ht="13.8" thickBot="1" x14ac:dyDescent="0.3">
      <c r="C32" s="27"/>
      <c r="D32" s="515"/>
      <c r="E32" s="29"/>
      <c r="F32" s="29"/>
      <c r="G32" s="29"/>
      <c r="H32" s="29"/>
      <c r="I32" s="36"/>
      <c r="L32" s="820"/>
      <c r="M32" s="164"/>
      <c r="N32" s="103"/>
      <c r="P32" s="134"/>
      <c r="Q32" s="1"/>
      <c r="R32" s="1"/>
      <c r="S32" s="2"/>
    </row>
    <row r="33" spans="3:21" ht="13.8" thickBot="1" x14ac:dyDescent="0.3">
      <c r="C33" s="305">
        <v>0.52339999999999998</v>
      </c>
      <c r="D33" s="427" t="s">
        <v>304</v>
      </c>
      <c r="E33" s="46">
        <f>AVERAGE(C33:C35)</f>
        <v>0.50514999999999999</v>
      </c>
      <c r="F33" s="46">
        <f>167.77*E33 - 15.94</f>
        <v>68.809015500000001</v>
      </c>
      <c r="G33" s="46">
        <v>56.503969999999988</v>
      </c>
      <c r="H33" s="46">
        <f>AVERAGE(F33:G33)</f>
        <v>62.656492749999998</v>
      </c>
      <c r="I33" s="136"/>
      <c r="L33" s="820"/>
      <c r="M33" s="164"/>
      <c r="N33" s="103"/>
      <c r="P33" s="134"/>
      <c r="Q33" s="1"/>
      <c r="R33" s="1"/>
      <c r="S33" s="2"/>
    </row>
    <row r="34" spans="3:21" ht="13.8" thickBot="1" x14ac:dyDescent="0.3">
      <c r="C34" s="26">
        <v>0.4869</v>
      </c>
      <c r="D34" s="413">
        <v>7986</v>
      </c>
      <c r="E34" s="21"/>
      <c r="F34" s="21"/>
      <c r="G34" s="21"/>
      <c r="H34" s="21"/>
      <c r="I34" s="35"/>
      <c r="L34" s="796" t="s">
        <v>316</v>
      </c>
      <c r="M34" s="164"/>
      <c r="N34" s="103"/>
      <c r="P34" s="134"/>
      <c r="Q34" s="1"/>
      <c r="R34" s="1"/>
      <c r="S34" s="2"/>
    </row>
    <row r="35" spans="3:21" ht="13.8" thickBot="1" x14ac:dyDescent="0.3">
      <c r="C35" s="26"/>
      <c r="D35" s="212"/>
      <c r="E35" s="21"/>
      <c r="F35" s="21"/>
      <c r="G35" s="21"/>
      <c r="H35" s="21"/>
      <c r="I35" s="35"/>
      <c r="L35" s="817"/>
      <c r="M35" s="532" t="s">
        <v>7</v>
      </c>
      <c r="N35" s="533" t="s">
        <v>13</v>
      </c>
      <c r="P35" s="134"/>
      <c r="Q35" s="1"/>
      <c r="R35" s="1"/>
      <c r="S35" s="2"/>
    </row>
    <row r="36" spans="3:21" ht="13.8" thickBot="1" x14ac:dyDescent="0.3">
      <c r="C36" s="26">
        <v>0.62480000000000002</v>
      </c>
      <c r="D36" s="427" t="s">
        <v>304</v>
      </c>
      <c r="E36" s="21">
        <f>AVERAGE(C36:C38)</f>
        <v>0.58345000000000002</v>
      </c>
      <c r="F36" s="21">
        <f>167.77*E36 - 15.94</f>
        <v>81.945406500000018</v>
      </c>
      <c r="G36" s="21">
        <v>74.589834999999994</v>
      </c>
      <c r="H36" s="21">
        <f>AVERAGE(F36:G36)</f>
        <v>78.267620750000006</v>
      </c>
      <c r="I36" s="35"/>
      <c r="L36" s="812" t="s">
        <v>317</v>
      </c>
      <c r="M36" s="844">
        <f>AVERAGE(H117:H123)</f>
        <v>56.737516416666665</v>
      </c>
      <c r="N36" s="845">
        <f>STDEV(H117:H123)/SQRT(COUNT(H117:H123))</f>
        <v>0.73760266011366404</v>
      </c>
      <c r="P36" s="134"/>
      <c r="Q36" s="1"/>
      <c r="R36" s="1"/>
      <c r="S36" s="2"/>
    </row>
    <row r="37" spans="3:21" ht="13.8" thickBot="1" x14ac:dyDescent="0.3">
      <c r="C37" s="26">
        <v>0.54210000000000003</v>
      </c>
      <c r="D37" s="413">
        <v>8059</v>
      </c>
      <c r="E37" s="21"/>
      <c r="F37" s="21"/>
      <c r="G37" s="21"/>
      <c r="H37" s="21"/>
      <c r="I37" s="35"/>
      <c r="L37" s="822"/>
      <c r="M37" s="846"/>
      <c r="N37" s="847"/>
      <c r="P37" s="134"/>
      <c r="Q37" s="1"/>
      <c r="R37" s="1"/>
      <c r="S37" s="2"/>
    </row>
    <row r="38" spans="3:21" x14ac:dyDescent="0.25">
      <c r="C38" s="26"/>
      <c r="D38" s="212"/>
      <c r="E38" s="21"/>
      <c r="F38" s="21"/>
      <c r="G38" s="21"/>
      <c r="H38" s="21"/>
      <c r="I38" s="35"/>
      <c r="L38" s="823" t="s">
        <v>318</v>
      </c>
      <c r="M38" s="840">
        <f>AVERAGE(H126:H135)</f>
        <v>53.485020500000005</v>
      </c>
      <c r="N38" s="837">
        <f>STDEV(H126:H135)/SQRT(COUNT(H126:H135))</f>
        <v>3.6983960774950742</v>
      </c>
      <c r="P38" s="134"/>
      <c r="S38" s="1"/>
      <c r="T38" s="1"/>
      <c r="U38" s="2"/>
    </row>
    <row r="39" spans="3:21" ht="13.8" thickBot="1" x14ac:dyDescent="0.3">
      <c r="C39" s="26">
        <v>0.60429999999999995</v>
      </c>
      <c r="D39" s="427" t="s">
        <v>304</v>
      </c>
      <c r="E39" s="21">
        <f>AVERAGE(C39:C41)</f>
        <v>0.63585000000000003</v>
      </c>
      <c r="F39" s="21">
        <f>167.77*E39 - 15.94</f>
        <v>90.736554500000011</v>
      </c>
      <c r="G39" s="21">
        <v>68.851689999999991</v>
      </c>
      <c r="H39" s="21">
        <f>AVERAGE(F39:G39)</f>
        <v>79.794122250000001</v>
      </c>
      <c r="I39" s="35"/>
      <c r="L39" s="822"/>
      <c r="M39" s="846"/>
      <c r="N39" s="847"/>
      <c r="P39" s="134"/>
      <c r="S39" s="1"/>
      <c r="T39" s="1"/>
      <c r="U39" s="2"/>
    </row>
    <row r="40" spans="3:21" x14ac:dyDescent="0.25">
      <c r="C40" s="26">
        <v>0.66739999999999999</v>
      </c>
      <c r="D40" s="413">
        <v>7396</v>
      </c>
      <c r="E40" s="21"/>
      <c r="F40" s="21"/>
      <c r="G40" s="21"/>
      <c r="H40" s="21"/>
      <c r="I40" s="35"/>
      <c r="L40" s="824" t="s">
        <v>319</v>
      </c>
      <c r="M40" s="840">
        <f>AVERAGE(H138:H144)</f>
        <v>63.564980916666663</v>
      </c>
      <c r="N40" s="837">
        <f>STDEV(H138:H144)/SQRT(COUNT(H138:H144))</f>
        <v>1.884361261679276</v>
      </c>
      <c r="P40" s="134"/>
      <c r="Q40" s="1"/>
      <c r="S40" s="1"/>
      <c r="T40" s="1"/>
      <c r="U40" s="2"/>
    </row>
    <row r="41" spans="3:21" ht="13.8" thickBot="1" x14ac:dyDescent="0.3">
      <c r="C41" s="26"/>
      <c r="D41" s="212"/>
      <c r="E41" s="21"/>
      <c r="F41" s="21"/>
      <c r="G41" s="21"/>
      <c r="H41" s="21"/>
      <c r="I41" s="35"/>
      <c r="L41" s="822"/>
      <c r="M41" s="846"/>
      <c r="N41" s="847"/>
      <c r="P41" s="134"/>
      <c r="S41" s="1"/>
      <c r="T41" s="1"/>
      <c r="U41" s="2"/>
    </row>
    <row r="42" spans="3:21" ht="13.8" thickBot="1" x14ac:dyDescent="0.3">
      <c r="C42" s="26">
        <v>0.6038</v>
      </c>
      <c r="D42" s="427" t="s">
        <v>304</v>
      </c>
      <c r="E42" s="21">
        <f>AVERAGE(C42:C44)</f>
        <v>0.61970000000000003</v>
      </c>
      <c r="F42" s="21">
        <f>167.77*E42 - 15.94</f>
        <v>88.027069000000012</v>
      </c>
      <c r="G42" s="21">
        <v>80.734154999999987</v>
      </c>
      <c r="H42" s="21">
        <f>AVERAGE(F42:G42)</f>
        <v>84.380611999999999</v>
      </c>
      <c r="I42" s="35"/>
      <c r="L42" s="825" t="s">
        <v>320</v>
      </c>
      <c r="M42" s="843">
        <f>AVERAGE(H147:H156)</f>
        <v>61.735561312500003</v>
      </c>
      <c r="N42" s="842">
        <f>STDEV(H147:H156)/SQRT(COUNT(H147:H156))</f>
        <v>2.0212106721881793</v>
      </c>
      <c r="O42" s="826"/>
      <c r="P42" s="827"/>
      <c r="Q42" s="1"/>
      <c r="S42" s="1"/>
      <c r="T42" s="1"/>
      <c r="U42" s="2"/>
    </row>
    <row r="43" spans="3:21" x14ac:dyDescent="0.25">
      <c r="C43" s="26">
        <v>0.63560000000000005</v>
      </c>
      <c r="D43" s="413">
        <v>7284</v>
      </c>
      <c r="E43" s="21"/>
      <c r="F43" s="21"/>
      <c r="G43" s="21"/>
      <c r="H43" s="21"/>
      <c r="I43" s="35"/>
      <c r="N43" s="514"/>
      <c r="S43" s="1"/>
      <c r="T43" s="1"/>
      <c r="U43" s="2"/>
    </row>
    <row r="44" spans="3:21" ht="13.8" thickBot="1" x14ac:dyDescent="0.3">
      <c r="C44" s="26"/>
      <c r="D44" s="212"/>
      <c r="E44" s="21"/>
      <c r="F44" s="21"/>
      <c r="G44" s="21"/>
      <c r="H44" s="21"/>
      <c r="I44" s="35"/>
      <c r="N44" s="514"/>
    </row>
    <row r="45" spans="3:21" ht="13.8" thickBot="1" x14ac:dyDescent="0.3">
      <c r="C45" s="26">
        <v>0.64739999999999998</v>
      </c>
      <c r="D45" s="427" t="s">
        <v>304</v>
      </c>
      <c r="E45" s="21">
        <f>AVERAGE(C45:C47)</f>
        <v>0.62945000000000007</v>
      </c>
      <c r="F45" s="21">
        <f>167.77*E45 - 15.94</f>
        <v>89.662826500000023</v>
      </c>
      <c r="G45" s="21">
        <v>82.107764999999972</v>
      </c>
      <c r="H45" s="21">
        <f>AVERAGE(F45:G45)</f>
        <v>85.885295749999997</v>
      </c>
      <c r="I45" s="35"/>
      <c r="L45" s="796" t="s">
        <v>313</v>
      </c>
    </row>
    <row r="46" spans="3:21" ht="13.8" thickBot="1" x14ac:dyDescent="0.3">
      <c r="C46" s="26">
        <v>0.61150000000000004</v>
      </c>
      <c r="D46" s="413">
        <v>8031</v>
      </c>
      <c r="E46" s="21"/>
      <c r="F46" s="21"/>
      <c r="G46" s="21"/>
      <c r="H46" s="21"/>
      <c r="I46" s="35"/>
      <c r="L46" s="870"/>
      <c r="M46" s="509" t="s">
        <v>7</v>
      </c>
      <c r="N46" s="510" t="s">
        <v>13</v>
      </c>
      <c r="O46" s="511" t="s">
        <v>204</v>
      </c>
      <c r="P46" s="512" t="s">
        <v>13</v>
      </c>
    </row>
    <row r="47" spans="3:21" x14ac:dyDescent="0.25">
      <c r="C47" s="416"/>
      <c r="D47" s="212"/>
      <c r="E47" s="21"/>
      <c r="F47" s="21"/>
      <c r="G47" s="21"/>
      <c r="H47" s="21"/>
      <c r="I47" s="35"/>
      <c r="L47" s="871" t="s">
        <v>314</v>
      </c>
      <c r="M47" s="833">
        <f>AVERAGE(I166:I180)</f>
        <v>120.71369833333334</v>
      </c>
      <c r="N47" s="874">
        <f>STDEV(I166:I180)/SQRT(COUNT(I166:I180))</f>
        <v>9.6080432329854411</v>
      </c>
      <c r="O47" s="877">
        <f>AVERAGE(J166:J180)</f>
        <v>-0.57630166666666349</v>
      </c>
      <c r="P47" s="834">
        <f>STDEV(J166:J180)/SQRT(COUNT(J166:J180))</f>
        <v>9.6080432329854197</v>
      </c>
    </row>
    <row r="48" spans="3:21" ht="13.8" thickBot="1" x14ac:dyDescent="0.3">
      <c r="C48" s="26">
        <v>0.6452</v>
      </c>
      <c r="D48" s="427" t="s">
        <v>304</v>
      </c>
      <c r="E48" s="21">
        <f>AVERAGE(C48:C50)</f>
        <v>0.59184999999999999</v>
      </c>
      <c r="F48" s="21">
        <f>167.77*E48 - 15.94</f>
        <v>83.354674500000002</v>
      </c>
      <c r="G48" s="21">
        <v>80.113814999999988</v>
      </c>
      <c r="H48" s="21">
        <f>AVERAGE(F48:G48)</f>
        <v>81.734244749999988</v>
      </c>
      <c r="I48" s="35"/>
      <c r="L48" s="817"/>
      <c r="M48" s="292"/>
      <c r="N48" s="572"/>
      <c r="O48" s="26"/>
      <c r="P48" s="293"/>
    </row>
    <row r="49" spans="2:18" ht="13.8" thickBot="1" x14ac:dyDescent="0.3">
      <c r="C49" s="26">
        <v>0.53849999999999998</v>
      </c>
      <c r="D49" s="413">
        <v>7760</v>
      </c>
      <c r="E49" s="21"/>
      <c r="F49" s="21"/>
      <c r="G49" s="21"/>
      <c r="H49" s="21"/>
      <c r="I49" s="35"/>
      <c r="L49" s="829" t="s">
        <v>304</v>
      </c>
      <c r="M49" s="836">
        <f>AVERAGE(I183:I192)</f>
        <v>121.29379847222222</v>
      </c>
      <c r="N49" s="875">
        <f>STDEV(I183:I192)/SQRT(COUNT(I183:I192))</f>
        <v>12.402925343298014</v>
      </c>
      <c r="O49" s="878"/>
      <c r="P49" s="293"/>
    </row>
    <row r="50" spans="2:18" ht="13.8" thickBot="1" x14ac:dyDescent="0.3">
      <c r="C50" s="27"/>
      <c r="D50" s="515"/>
      <c r="E50" s="29"/>
      <c r="F50" s="29"/>
      <c r="G50" s="29"/>
      <c r="H50" s="29"/>
      <c r="I50" s="36"/>
      <c r="L50" s="819"/>
      <c r="M50" s="292"/>
      <c r="N50" s="572"/>
      <c r="O50" s="26"/>
      <c r="P50" s="293"/>
    </row>
    <row r="51" spans="2:18" ht="13.8" thickBot="1" x14ac:dyDescent="0.3">
      <c r="C51" s="305">
        <v>0.66739999999999999</v>
      </c>
      <c r="D51" s="517" t="s">
        <v>315</v>
      </c>
      <c r="E51" s="46">
        <f>AVERAGE(C51:C53)</f>
        <v>0.64805000000000001</v>
      </c>
      <c r="F51" s="46">
        <f>167.77*E51 - 15.94</f>
        <v>92.783348500000017</v>
      </c>
      <c r="G51" s="46">
        <v>70.853024999999974</v>
      </c>
      <c r="H51" s="46">
        <f>AVERAGE(F51:G51)</f>
        <v>81.818186749999995</v>
      </c>
      <c r="I51" s="136">
        <f>H51-81.39</f>
        <v>0.42818674999999473</v>
      </c>
      <c r="L51" s="831" t="s">
        <v>315</v>
      </c>
      <c r="M51" s="840">
        <f>AVERAGE(I195:I210)</f>
        <v>136.43194157407405</v>
      </c>
      <c r="N51" s="875">
        <f>STDEV(I195:I210)/SQRT(COUNT(I195:I210))</f>
        <v>10.016987648050225</v>
      </c>
      <c r="O51" s="879">
        <f>AVERAGE(J195:J210)</f>
        <v>39.091941574074063</v>
      </c>
      <c r="P51" s="837">
        <f>STDEV(J195:J210)/SQRT(COUNT(J195:J210))</f>
        <v>10.016987648050195</v>
      </c>
    </row>
    <row r="52" spans="2:18" ht="13.8" thickBot="1" x14ac:dyDescent="0.3">
      <c r="B52" t="s">
        <v>0</v>
      </c>
      <c r="C52" s="26">
        <v>0.62870000000000004</v>
      </c>
      <c r="D52" s="420">
        <v>7791</v>
      </c>
      <c r="E52" s="21"/>
      <c r="F52" s="21"/>
      <c r="G52" s="21"/>
      <c r="H52" s="21"/>
      <c r="I52" s="35"/>
      <c r="L52" s="817"/>
      <c r="M52" s="383"/>
      <c r="N52" s="572"/>
      <c r="O52" s="26"/>
      <c r="P52" s="293"/>
      <c r="R52" s="3"/>
    </row>
    <row r="53" spans="2:18" ht="13.8" thickBot="1" x14ac:dyDescent="0.3">
      <c r="C53" s="26"/>
      <c r="D53" s="212"/>
      <c r="E53" s="21"/>
      <c r="F53" s="21"/>
      <c r="G53" s="21"/>
      <c r="H53" s="21"/>
      <c r="I53" s="35"/>
      <c r="L53" s="801" t="s">
        <v>305</v>
      </c>
      <c r="M53" s="843">
        <f>AVERAGE(I213:I222)</f>
        <v>97.336406527777783</v>
      </c>
      <c r="N53" s="876">
        <f>STDEV(I213:I222)/SQRT(COUNT(I213:I222))</f>
        <v>2.250088930699115</v>
      </c>
      <c r="O53" s="880"/>
      <c r="P53" s="299"/>
      <c r="Q53" s="1"/>
    </row>
    <row r="54" spans="2:18" x14ac:dyDescent="0.25">
      <c r="C54" s="26">
        <v>0.88729999999999998</v>
      </c>
      <c r="D54" s="517" t="s">
        <v>315</v>
      </c>
      <c r="E54" s="21">
        <f>AVERAGE(C54:C56)</f>
        <v>0.87524999999999997</v>
      </c>
      <c r="F54" s="21">
        <f>167.77*E54 - 15.94</f>
        <v>130.90069250000002</v>
      </c>
      <c r="G54" s="21">
        <v>103.46518499999999</v>
      </c>
      <c r="H54" s="21">
        <f>AVERAGE(F54:G54)</f>
        <v>117.18293875000001</v>
      </c>
      <c r="I54" s="35">
        <f>H54-81.39</f>
        <v>35.792938750000005</v>
      </c>
      <c r="M54" s="1"/>
      <c r="Q54" s="1"/>
    </row>
    <row r="55" spans="2:18" ht="13.8" thickBot="1" x14ac:dyDescent="0.3">
      <c r="C55" s="26">
        <v>0.86319999999999997</v>
      </c>
      <c r="D55" s="420">
        <v>7476</v>
      </c>
      <c r="E55" s="21"/>
      <c r="F55" s="21"/>
      <c r="G55" s="21"/>
      <c r="H55" s="21"/>
      <c r="I55" s="35"/>
      <c r="L55" s="1"/>
      <c r="M55" s="1"/>
      <c r="Q55" s="1"/>
    </row>
    <row r="56" spans="2:18" ht="13.8" thickBot="1" x14ac:dyDescent="0.3">
      <c r="C56" s="26"/>
      <c r="D56" s="212"/>
      <c r="E56" s="21"/>
      <c r="F56" s="21"/>
      <c r="G56" s="21"/>
      <c r="H56" s="21"/>
      <c r="I56" s="35"/>
      <c r="L56" s="796" t="s">
        <v>333</v>
      </c>
    </row>
    <row r="57" spans="2:18" ht="13.8" thickBot="1" x14ac:dyDescent="0.3">
      <c r="C57" s="26">
        <v>0.85660000000000003</v>
      </c>
      <c r="D57" s="517" t="s">
        <v>315</v>
      </c>
      <c r="E57" s="21">
        <f>AVERAGE(C57:C59)</f>
        <v>0.85245000000000004</v>
      </c>
      <c r="F57" s="21">
        <f>167.77*E57 - 15.94</f>
        <v>127.07553650000003</v>
      </c>
      <c r="G57" s="21">
        <v>97.837814999999978</v>
      </c>
      <c r="H57" s="21">
        <f>AVERAGE(F57:G57)</f>
        <v>112.45667575</v>
      </c>
      <c r="I57" s="35">
        <f>H57-81.39</f>
        <v>31.066675750000002</v>
      </c>
      <c r="M57" s="872" t="s">
        <v>7</v>
      </c>
      <c r="N57" s="510" t="s">
        <v>13</v>
      </c>
      <c r="O57" s="511" t="s">
        <v>204</v>
      </c>
      <c r="P57" s="512" t="s">
        <v>13</v>
      </c>
    </row>
    <row r="58" spans="2:18" x14ac:dyDescent="0.25">
      <c r="C58" s="26">
        <v>0.84830000000000005</v>
      </c>
      <c r="D58" s="420">
        <v>8079</v>
      </c>
      <c r="E58" s="21"/>
      <c r="F58" s="21"/>
      <c r="G58" s="21"/>
      <c r="H58" s="21"/>
      <c r="I58" s="35"/>
      <c r="L58" s="881" t="s">
        <v>330</v>
      </c>
      <c r="M58" s="882">
        <f>AVERAGE(H312:H336)</f>
        <v>121.32336944444445</v>
      </c>
      <c r="N58" s="834">
        <f>STDEV(H312:H336)/SQRT(COUNT(H312:H336))</f>
        <v>9.8427988248082627</v>
      </c>
      <c r="O58" s="886">
        <f>AVERAGE(I312:I336)</f>
        <v>12.583369444444452</v>
      </c>
      <c r="P58" s="834">
        <f>STDEV(I312:I336)/SQRT(COUNT(I312:I336))</f>
        <v>9.8427988248082769</v>
      </c>
    </row>
    <row r="59" spans="2:18" x14ac:dyDescent="0.25">
      <c r="C59" s="26" t="s">
        <v>0</v>
      </c>
      <c r="D59" s="212"/>
      <c r="E59" s="21"/>
      <c r="F59" s="21"/>
      <c r="G59" s="21"/>
      <c r="H59" s="21"/>
      <c r="I59" s="35"/>
      <c r="L59" s="26"/>
      <c r="M59" s="873"/>
      <c r="N59" s="837"/>
      <c r="O59" s="887"/>
      <c r="P59" s="837"/>
    </row>
    <row r="60" spans="2:18" x14ac:dyDescent="0.25">
      <c r="C60" s="26">
        <v>0.67020000000000002</v>
      </c>
      <c r="D60" s="517" t="s">
        <v>315</v>
      </c>
      <c r="E60" s="21">
        <f>AVERAGE(C60:C62)</f>
        <v>0.66725000000000001</v>
      </c>
      <c r="F60" s="21">
        <f>167.77*E60 - 15.94</f>
        <v>96.00453250000001</v>
      </c>
      <c r="G60" s="21">
        <v>73.71840499999999</v>
      </c>
      <c r="H60" s="21">
        <f>AVERAGE(F60:G60)</f>
        <v>84.86146875</v>
      </c>
      <c r="I60" s="35">
        <f>H60-81.39</f>
        <v>3.4714687499999997</v>
      </c>
      <c r="L60" s="883" t="s">
        <v>331</v>
      </c>
      <c r="M60" s="873">
        <f>AVERAGE(H339:H357)</f>
        <v>108.73505267857145</v>
      </c>
      <c r="N60" s="837">
        <f>STDEV(H339:H357)/SQRT(COUNT(H339:H357))</f>
        <v>5.8608060220636968</v>
      </c>
      <c r="O60" s="887"/>
      <c r="P60" s="837"/>
    </row>
    <row r="61" spans="2:18" x14ac:dyDescent="0.25">
      <c r="C61" s="26">
        <v>0.6643</v>
      </c>
      <c r="D61" s="420">
        <v>7225</v>
      </c>
      <c r="E61" s="21"/>
      <c r="F61" s="21"/>
      <c r="G61" s="21"/>
      <c r="H61" s="21"/>
      <c r="I61" s="35"/>
      <c r="L61" s="26"/>
      <c r="M61" s="21"/>
      <c r="N61" s="69"/>
      <c r="O61" s="43"/>
      <c r="P61" s="35"/>
    </row>
    <row r="62" spans="2:18" x14ac:dyDescent="0.25">
      <c r="C62" s="26"/>
      <c r="D62" s="212"/>
      <c r="E62" s="21"/>
      <c r="F62" s="21"/>
      <c r="G62" s="21"/>
      <c r="H62" s="21"/>
      <c r="I62" s="35"/>
      <c r="L62" s="884" t="s">
        <v>328</v>
      </c>
      <c r="M62" s="873">
        <f>AVERAGE(H288)</f>
        <v>128.71535</v>
      </c>
      <c r="N62" s="837">
        <f>STDEV(H268:H288)/SQRT(COUNT(H268:H288))</f>
        <v>8.0156999206270729</v>
      </c>
      <c r="O62" s="887">
        <f>AVERAGE(I268:I288)</f>
        <v>30.796948437499999</v>
      </c>
      <c r="P62" s="837">
        <f>STDEV(I268:I288)/SQRT(COUNT(I268:I288))</f>
        <v>8.0156999206271138</v>
      </c>
    </row>
    <row r="63" spans="2:18" x14ac:dyDescent="0.25">
      <c r="C63" s="26">
        <v>0.76959999999999995</v>
      </c>
      <c r="D63" s="517" t="s">
        <v>315</v>
      </c>
      <c r="E63" s="21">
        <f>AVERAGE(C63:C65)</f>
        <v>0.75760000000000005</v>
      </c>
      <c r="F63" s="21">
        <f>167.77*E63 - 15.94</f>
        <v>111.16255200000002</v>
      </c>
      <c r="G63" s="21">
        <v>85.25377499999999</v>
      </c>
      <c r="H63" s="21">
        <f>AVERAGE(F63:G63)</f>
        <v>98.208163500000012</v>
      </c>
      <c r="I63" s="35">
        <f>H63-81.39</f>
        <v>16.818163500000011</v>
      </c>
      <c r="L63" s="26"/>
      <c r="M63" s="21"/>
      <c r="N63" s="35"/>
      <c r="O63" s="43"/>
      <c r="P63" s="35"/>
    </row>
    <row r="64" spans="2:18" ht="13.8" thickBot="1" x14ac:dyDescent="0.3">
      <c r="C64" s="26">
        <v>0.74560000000000004</v>
      </c>
      <c r="D64" s="420">
        <v>7051</v>
      </c>
      <c r="E64" s="21"/>
      <c r="F64" s="21"/>
      <c r="G64" s="21"/>
      <c r="H64" s="21"/>
      <c r="I64" s="35"/>
      <c r="L64" s="888" t="s">
        <v>329</v>
      </c>
      <c r="M64" s="873">
        <f>AVERAGE(H291:H309)</f>
        <v>105.435125</v>
      </c>
      <c r="N64" s="837">
        <f>STDEV(H291:H309)/SQRT(COUNT(H291:H309))</f>
        <v>5.1904336630999799</v>
      </c>
      <c r="O64" s="48"/>
      <c r="P64" s="36"/>
    </row>
    <row r="65" spans="3:16" x14ac:dyDescent="0.25">
      <c r="C65" s="26"/>
      <c r="D65" s="212"/>
      <c r="E65" s="21"/>
      <c r="F65" s="21"/>
      <c r="G65" s="21"/>
      <c r="H65" s="21"/>
      <c r="I65" s="35"/>
      <c r="L65" s="26"/>
      <c r="M65" s="21"/>
      <c r="N65" s="35"/>
    </row>
    <row r="66" spans="3:16" ht="13.8" thickBot="1" x14ac:dyDescent="0.3">
      <c r="C66" s="26">
        <v>0.74580000000000002</v>
      </c>
      <c r="D66" s="517" t="s">
        <v>315</v>
      </c>
      <c r="E66" s="21">
        <f>AVERAGE(C66:C68)</f>
        <v>0.71655000000000002</v>
      </c>
      <c r="F66" s="21">
        <f>167.77*E66 - 15.94</f>
        <v>104.27559350000001</v>
      </c>
      <c r="G66" s="21">
        <v>83.459219999999988</v>
      </c>
      <c r="H66" s="21">
        <f>AVERAGE(F66:G66)</f>
        <v>93.867406750000001</v>
      </c>
      <c r="I66" s="35">
        <f>H66-81.39</f>
        <v>12.47740675</v>
      </c>
      <c r="L66" s="889" t="s">
        <v>334</v>
      </c>
      <c r="M66" s="885">
        <f>AVERAGE(H234:H264)</f>
        <v>140.95391136363637</v>
      </c>
      <c r="N66" s="842">
        <f>STDEV(H234:H264)/SQRT(COUNT(H234:H264))</f>
        <v>5.770168066209842</v>
      </c>
    </row>
    <row r="67" spans="3:16" x14ac:dyDescent="0.25">
      <c r="C67" s="26">
        <v>0.68730000000000002</v>
      </c>
      <c r="D67" s="420">
        <v>7499</v>
      </c>
      <c r="E67" s="21"/>
      <c r="F67" s="21"/>
      <c r="G67" s="21"/>
      <c r="H67" s="21"/>
      <c r="I67" s="35"/>
    </row>
    <row r="68" spans="3:16" ht="13.8" thickBot="1" x14ac:dyDescent="0.3">
      <c r="C68" s="26"/>
      <c r="D68" s="212"/>
      <c r="E68" s="21"/>
      <c r="F68" s="21"/>
      <c r="G68" s="21"/>
      <c r="H68" s="21"/>
      <c r="I68" s="35"/>
    </row>
    <row r="69" spans="3:16" ht="13.8" thickBot="1" x14ac:dyDescent="0.3">
      <c r="C69" s="26">
        <v>0.64649999999999996</v>
      </c>
      <c r="D69" s="517" t="s">
        <v>315</v>
      </c>
      <c r="E69" s="21">
        <f>AVERAGE(C69:C71)</f>
        <v>0.63759999999999994</v>
      </c>
      <c r="F69" s="21">
        <f>167.77*E69 - 15.94</f>
        <v>91.030152000000001</v>
      </c>
      <c r="G69" s="21">
        <v>65.151804999999996</v>
      </c>
      <c r="H69" s="21">
        <f>AVERAGE(F69:G69)</f>
        <v>78.090978500000006</v>
      </c>
      <c r="I69" s="35">
        <f>H69-81.39</f>
        <v>-3.2990214999999949</v>
      </c>
      <c r="L69" s="890" t="s">
        <v>335</v>
      </c>
      <c r="M69" s="797" t="s">
        <v>294</v>
      </c>
      <c r="P69" s="797" t="s">
        <v>295</v>
      </c>
    </row>
    <row r="70" spans="3:16" ht="13.8" thickBot="1" x14ac:dyDescent="0.3">
      <c r="C70" s="26">
        <v>0.62870000000000004</v>
      </c>
      <c r="D70" s="420">
        <v>8078</v>
      </c>
      <c r="E70" s="21"/>
      <c r="F70" s="21"/>
      <c r="G70" s="21"/>
      <c r="H70" s="21"/>
      <c r="I70" s="35"/>
      <c r="M70" s="872" t="s">
        <v>7</v>
      </c>
      <c r="N70" s="510" t="s">
        <v>13</v>
      </c>
      <c r="O70" s="895" t="s">
        <v>204</v>
      </c>
      <c r="P70" s="512" t="s">
        <v>13</v>
      </c>
    </row>
    <row r="71" spans="3:16" x14ac:dyDescent="0.25">
      <c r="C71" s="26"/>
      <c r="D71" s="212"/>
      <c r="E71" s="21"/>
      <c r="F71" s="21"/>
      <c r="G71" s="21"/>
      <c r="H71" s="21"/>
      <c r="I71" s="35"/>
      <c r="L71" s="891" t="s">
        <v>330</v>
      </c>
      <c r="M71" s="882">
        <f>AVERAGE(H7:H30,I166:I180,H312:H336)</f>
        <v>104.04769676041667</v>
      </c>
      <c r="N71" s="874">
        <f>STDEV(H7:H30,I166:I180,H312:H336)/SQRT(COUNT(H7:H30,I166:I180,H312:H336))</f>
        <v>6.2917343802830032</v>
      </c>
      <c r="O71" s="833">
        <f>AVERAGE(I7:I30,J166:J180,I312:I336)</f>
        <v>3.4014467604166683</v>
      </c>
      <c r="P71" s="834">
        <f>STDEV(I7:I30,J166:J180,I312:I336)/SQRT(COUNT(I7:I30,J166:J180,I312:I336))</f>
        <v>4.5612338010715021</v>
      </c>
    </row>
    <row r="72" spans="3:16" x14ac:dyDescent="0.25">
      <c r="C72" s="26">
        <v>0.55479999999999996</v>
      </c>
      <c r="D72" s="517" t="s">
        <v>315</v>
      </c>
      <c r="E72" s="21">
        <f>AVERAGE(C72:C74)</f>
        <v>0.62614999999999998</v>
      </c>
      <c r="F72" s="21">
        <f>167.77*E72 - 15.94</f>
        <v>89.109185500000009</v>
      </c>
      <c r="G72" s="21">
        <v>69.516340000000014</v>
      </c>
      <c r="H72" s="21">
        <f>AVERAGE(F72:G72)</f>
        <v>79.312762750000019</v>
      </c>
      <c r="I72" s="35">
        <f>H72-81.39</f>
        <v>-2.0772372499999818</v>
      </c>
      <c r="L72" s="892"/>
      <c r="M72" s="21"/>
      <c r="N72" s="750"/>
      <c r="O72" s="26"/>
      <c r="P72" s="35"/>
    </row>
    <row r="73" spans="3:16" x14ac:dyDescent="0.25">
      <c r="C73" s="26">
        <v>0.69750000000000001</v>
      </c>
      <c r="D73" s="420">
        <v>7498</v>
      </c>
      <c r="E73" s="21"/>
      <c r="F73" s="21"/>
      <c r="G73" s="21"/>
      <c r="H73" s="21"/>
      <c r="I73" s="35"/>
      <c r="L73" s="893" t="s">
        <v>331</v>
      </c>
      <c r="M73" s="873">
        <f>AVERAGE(H33:H48,I183:I192,H339:H357)</f>
        <v>101.1199382875817</v>
      </c>
      <c r="N73" s="875">
        <f>STDEV(H33:H48,I183:I192,H339:H357)/SQRT(COUNT(H33:H48,I183:I192,H339:H357))</f>
        <v>5.644843742506465</v>
      </c>
      <c r="O73" s="26"/>
      <c r="P73" s="35"/>
    </row>
    <row r="74" spans="3:16" ht="13.8" thickBot="1" x14ac:dyDescent="0.3">
      <c r="C74" s="27"/>
      <c r="D74" s="515"/>
      <c r="E74" s="29"/>
      <c r="F74" s="29"/>
      <c r="G74" s="29"/>
      <c r="H74" s="29"/>
      <c r="I74" s="36"/>
      <c r="L74" s="892"/>
      <c r="M74" s="21"/>
      <c r="N74" s="750"/>
      <c r="O74" s="26"/>
      <c r="P74" s="35"/>
    </row>
    <row r="75" spans="3:16" x14ac:dyDescent="0.25">
      <c r="C75" s="44">
        <v>0.65739999999999998</v>
      </c>
      <c r="D75" s="518" t="s">
        <v>305</v>
      </c>
      <c r="E75" s="46">
        <f>AVERAGE(C75:C77)</f>
        <v>0.66110000000000002</v>
      </c>
      <c r="F75" s="46">
        <f>167.77*E75 - 15.94</f>
        <v>94.972747000000012</v>
      </c>
      <c r="G75" s="46">
        <v>77.876159999999999</v>
      </c>
      <c r="H75" s="46">
        <f>AVERAGE(F75:G75)</f>
        <v>86.424453499999998</v>
      </c>
      <c r="I75" s="136"/>
      <c r="L75" s="884" t="s">
        <v>328</v>
      </c>
      <c r="M75" s="873">
        <f>AVERAGE(H51:H72,I195:I210,H268:H288)</f>
        <v>120.64935538383838</v>
      </c>
      <c r="N75" s="875">
        <f>STDEV(H51:H72,I195:I210,H268:H288)/SQRT(COUNT(H51:HH72,I195:I210,H268:H288))</f>
        <v>3.9457503458180563</v>
      </c>
      <c r="O75" s="836">
        <f>AVERAGE(I51:I72,J195:J210,I268:I288)</f>
        <v>26.163900838383839</v>
      </c>
      <c r="P75" s="837">
        <f>STDEV(I51:I72,J195:J210,I268:I288)/SQRT(COUNT(I51:I72,J195:J210,I268:I288))</f>
        <v>4.8832974163200369</v>
      </c>
    </row>
    <row r="76" spans="3:16" x14ac:dyDescent="0.25">
      <c r="C76" s="42">
        <v>0.66479999999999995</v>
      </c>
      <c r="D76" s="519">
        <v>7678</v>
      </c>
      <c r="E76" s="21"/>
      <c r="F76" s="21"/>
      <c r="G76" s="21"/>
      <c r="H76" s="21"/>
      <c r="I76" s="35"/>
      <c r="L76" s="892"/>
      <c r="M76" s="21"/>
      <c r="N76" s="750"/>
      <c r="O76" s="26"/>
      <c r="P76" s="35"/>
    </row>
    <row r="77" spans="3:16" x14ac:dyDescent="0.25">
      <c r="C77" s="42"/>
      <c r="D77" s="520"/>
      <c r="E77" s="21"/>
      <c r="F77" s="21"/>
      <c r="G77" s="21"/>
      <c r="H77" s="21"/>
      <c r="I77" s="35"/>
      <c r="L77" s="894" t="s">
        <v>329</v>
      </c>
      <c r="M77" s="873">
        <f>AVERAGE(H75:H96,I213:I222,H291:H309)</f>
        <v>93.607530097953216</v>
      </c>
      <c r="N77" s="875">
        <f>STDEV(H75:H96,I213:I222,H291:H309)/SQRT(COUNT(H75:H96,I213:I222,H291:H309))</f>
        <v>3.5474847722033775</v>
      </c>
      <c r="O77" s="26"/>
      <c r="P77" s="35"/>
    </row>
    <row r="78" spans="3:16" x14ac:dyDescent="0.25">
      <c r="C78" s="42">
        <v>0.72330000000000005</v>
      </c>
      <c r="D78" s="518" t="s">
        <v>305</v>
      </c>
      <c r="E78" s="21">
        <f>AVERAGE(C78:C80)</f>
        <v>0.72735000000000005</v>
      </c>
      <c r="F78" s="21">
        <f>167.77*E78 - 15.94</f>
        <v>106.08750950000002</v>
      </c>
      <c r="G78" s="21">
        <v>86.642155000000002</v>
      </c>
      <c r="H78" s="21">
        <f>AVERAGE(F78:G78)</f>
        <v>96.364832250000006</v>
      </c>
      <c r="I78" s="35"/>
      <c r="K78" s="137"/>
      <c r="L78" s="26"/>
      <c r="M78" s="21"/>
      <c r="N78" s="750"/>
      <c r="O78" s="26"/>
      <c r="P78" s="35"/>
    </row>
    <row r="79" spans="3:16" ht="13.8" thickBot="1" x14ac:dyDescent="0.3">
      <c r="C79" s="42">
        <v>0.73140000000000005</v>
      </c>
      <c r="D79" s="519">
        <v>7679</v>
      </c>
      <c r="E79" s="21"/>
      <c r="F79" s="21"/>
      <c r="G79" s="21"/>
      <c r="H79" s="21"/>
      <c r="I79" s="35"/>
      <c r="K79" s="137"/>
      <c r="L79" s="889" t="s">
        <v>334</v>
      </c>
      <c r="M79" s="885">
        <f>AVERAGE(H99:H114,H234:H264)</f>
        <v>123.70725707352943</v>
      </c>
      <c r="N79" s="876">
        <f>STDEV(H99:H114,H234:H264)/SQRT(COUNT(H99:H114,H234:H264))</f>
        <v>7.1386172737233107</v>
      </c>
      <c r="O79" s="27"/>
      <c r="P79" s="36"/>
    </row>
    <row r="80" spans="3:16" x14ac:dyDescent="0.25">
      <c r="C80" s="42"/>
      <c r="D80" s="520"/>
      <c r="E80" s="21"/>
      <c r="F80" s="21"/>
      <c r="G80" s="21"/>
      <c r="H80" s="21"/>
      <c r="I80" s="35"/>
      <c r="K80" s="137"/>
    </row>
    <row r="81" spans="3:11" x14ac:dyDescent="0.25">
      <c r="C81" s="42">
        <v>0.6895</v>
      </c>
      <c r="D81" s="518" t="s">
        <v>305</v>
      </c>
      <c r="E81" s="21">
        <f>AVERAGE(C81:C83)</f>
        <v>0.64705000000000001</v>
      </c>
      <c r="F81" s="21">
        <f>167.77*E81 - 15.94</f>
        <v>92.615578500000012</v>
      </c>
      <c r="G81" s="21">
        <v>91.516255000000001</v>
      </c>
      <c r="H81" s="21">
        <f>AVERAGE(F81:G81)</f>
        <v>92.065916750000014</v>
      </c>
      <c r="I81" s="35"/>
      <c r="K81" s="137"/>
    </row>
    <row r="82" spans="3:11" x14ac:dyDescent="0.25">
      <c r="C82" s="42">
        <v>0.60460000000000003</v>
      </c>
      <c r="D82" s="519">
        <v>8080</v>
      </c>
      <c r="E82" s="21"/>
      <c r="F82" s="21"/>
      <c r="G82" s="21"/>
      <c r="H82" s="21"/>
      <c r="I82" s="35"/>
      <c r="K82" s="137"/>
    </row>
    <row r="83" spans="3:11" x14ac:dyDescent="0.25">
      <c r="C83" s="42"/>
      <c r="D83" s="520"/>
      <c r="E83" s="21"/>
      <c r="F83" s="21"/>
      <c r="G83" s="21"/>
      <c r="H83" s="21"/>
      <c r="I83" s="35"/>
      <c r="K83" s="137"/>
    </row>
    <row r="84" spans="3:11" x14ac:dyDescent="0.25">
      <c r="C84" s="42">
        <v>0.6573</v>
      </c>
      <c r="D84" s="518" t="s">
        <v>305</v>
      </c>
      <c r="E84" s="21">
        <f>AVERAGE(C84:C86)</f>
        <v>0.66254999999999997</v>
      </c>
      <c r="F84" s="21">
        <f>167.77*E84 - 15.94</f>
        <v>95.216013500000003</v>
      </c>
      <c r="G84" s="21">
        <v>82.661640000000006</v>
      </c>
      <c r="H84" s="21">
        <f>AVERAGE(F84:G84)</f>
        <v>88.938826750000004</v>
      </c>
      <c r="I84" s="35"/>
      <c r="K84" s="137"/>
    </row>
    <row r="85" spans="3:11" x14ac:dyDescent="0.25">
      <c r="C85" s="42">
        <v>0.66779999999999995</v>
      </c>
      <c r="D85" s="519">
        <v>8081</v>
      </c>
      <c r="E85" s="21"/>
      <c r="F85" s="21"/>
      <c r="G85" s="21"/>
      <c r="H85" s="21"/>
      <c r="I85" s="35"/>
    </row>
    <row r="86" spans="3:11" x14ac:dyDescent="0.25">
      <c r="C86" s="42"/>
      <c r="D86" s="520"/>
      <c r="E86" s="21"/>
      <c r="F86" s="21"/>
      <c r="G86" s="21"/>
      <c r="H86" s="21"/>
      <c r="I86" s="35"/>
    </row>
    <row r="87" spans="3:11" x14ac:dyDescent="0.25">
      <c r="C87" s="42">
        <v>0.59430000000000005</v>
      </c>
      <c r="D87" s="518" t="s">
        <v>305</v>
      </c>
      <c r="E87" s="21">
        <f>AVERAGE(C87:C89)</f>
        <v>0.5888500000000001</v>
      </c>
      <c r="F87" s="21">
        <f>167.77*E87 - 15.94</f>
        <v>82.851364500000031</v>
      </c>
      <c r="G87" s="21">
        <v>67.935949999999991</v>
      </c>
      <c r="H87" s="21">
        <f>AVERAGE(F87:G87)</f>
        <v>75.393657250000018</v>
      </c>
      <c r="I87" s="35"/>
    </row>
    <row r="88" spans="3:11" x14ac:dyDescent="0.25">
      <c r="C88" s="42">
        <v>0.58340000000000003</v>
      </c>
      <c r="D88" s="519">
        <v>8082</v>
      </c>
      <c r="E88" s="21"/>
      <c r="F88" s="21"/>
      <c r="G88" s="21"/>
      <c r="H88" s="21"/>
      <c r="I88" s="35"/>
    </row>
    <row r="89" spans="3:11" x14ac:dyDescent="0.25">
      <c r="C89" s="42"/>
      <c r="D89" s="520"/>
      <c r="E89" s="21"/>
      <c r="F89" s="21"/>
      <c r="G89" s="21"/>
      <c r="H89" s="21"/>
      <c r="I89" s="35"/>
    </row>
    <row r="90" spans="3:11" x14ac:dyDescent="0.25">
      <c r="C90" s="42">
        <v>0.51249999999999996</v>
      </c>
      <c r="D90" s="518" t="s">
        <v>305</v>
      </c>
      <c r="E90" s="21">
        <f>AVERAGE(C90:C92)</f>
        <v>0.5180499999999999</v>
      </c>
      <c r="F90" s="21">
        <f>167.77*E90 - 15.94</f>
        <v>70.973248499999997</v>
      </c>
      <c r="G90" s="21">
        <v>56.282419999999981</v>
      </c>
      <c r="H90" s="21">
        <f>AVERAGE(F90:G90)</f>
        <v>63.627834249999992</v>
      </c>
      <c r="I90" s="35"/>
    </row>
    <row r="91" spans="3:11" x14ac:dyDescent="0.25">
      <c r="C91" s="42">
        <v>0.52359999999999995</v>
      </c>
      <c r="D91" s="519">
        <v>7226</v>
      </c>
      <c r="E91" s="21"/>
      <c r="F91" s="21"/>
      <c r="G91" s="21"/>
      <c r="H91" s="21"/>
      <c r="I91" s="35"/>
    </row>
    <row r="92" spans="3:11" x14ac:dyDescent="0.25">
      <c r="C92" s="42"/>
      <c r="D92" s="520"/>
      <c r="E92" s="21"/>
      <c r="F92" s="21"/>
      <c r="G92" s="21"/>
      <c r="H92" s="21"/>
      <c r="I92" s="35"/>
    </row>
    <row r="93" spans="3:11" x14ac:dyDescent="0.25">
      <c r="C93" s="42">
        <v>0.60429999999999995</v>
      </c>
      <c r="D93" s="518" t="s">
        <v>305</v>
      </c>
      <c r="E93" s="21">
        <f>AVERAGE(C93:C95)</f>
        <v>0.59794999999999998</v>
      </c>
      <c r="F93" s="21">
        <f>167.77*E93 - 15.94</f>
        <v>84.378071500000004</v>
      </c>
      <c r="G93" s="21">
        <v>67.736554999999981</v>
      </c>
      <c r="H93" s="21">
        <f>AVERAGE(F93:G93)</f>
        <v>76.057313249999993</v>
      </c>
      <c r="I93" s="35"/>
    </row>
    <row r="94" spans="3:11" x14ac:dyDescent="0.25">
      <c r="C94" s="42">
        <v>0.59160000000000001</v>
      </c>
      <c r="D94" s="519" t="s">
        <v>205</v>
      </c>
      <c r="E94" s="21"/>
      <c r="F94" s="21"/>
      <c r="G94" s="21"/>
      <c r="H94" s="21"/>
      <c r="I94" s="35"/>
    </row>
    <row r="95" spans="3:11" x14ac:dyDescent="0.25">
      <c r="C95" s="42"/>
      <c r="D95" s="520"/>
      <c r="E95" s="21"/>
      <c r="F95" s="21"/>
      <c r="G95" s="21"/>
      <c r="H95" s="21"/>
      <c r="I95" s="35"/>
    </row>
    <row r="96" spans="3:11" x14ac:dyDescent="0.25">
      <c r="C96" s="42">
        <v>0.59840000000000004</v>
      </c>
      <c r="D96" s="518" t="s">
        <v>305</v>
      </c>
      <c r="E96" s="21">
        <f>AVERAGE(C96:C98)</f>
        <v>0.57355</v>
      </c>
      <c r="F96" s="21">
        <f>167.77*E96 - 15.94</f>
        <v>80.284483500000007</v>
      </c>
      <c r="G96" s="21">
        <v>64.272989999999993</v>
      </c>
      <c r="H96" s="21">
        <f>AVERAGE(F96:G96)</f>
        <v>72.278736750000007</v>
      </c>
      <c r="I96" s="35"/>
    </row>
    <row r="97" spans="3:9" x14ac:dyDescent="0.25">
      <c r="C97" s="42">
        <v>0.54869999999999997</v>
      </c>
      <c r="D97" s="519">
        <v>8028</v>
      </c>
      <c r="E97" s="21"/>
      <c r="F97" s="21"/>
      <c r="G97" s="21"/>
      <c r="H97" s="21"/>
      <c r="I97" s="35"/>
    </row>
    <row r="98" spans="3:9" ht="13.8" thickBot="1" x14ac:dyDescent="0.3">
      <c r="C98" s="47"/>
      <c r="D98" s="521"/>
      <c r="E98" s="29"/>
      <c r="F98" s="29"/>
      <c r="G98" s="29"/>
      <c r="H98" s="29"/>
      <c r="I98" s="36"/>
    </row>
    <row r="99" spans="3:9" x14ac:dyDescent="0.25">
      <c r="C99" s="305">
        <v>0.88749999999999996</v>
      </c>
      <c r="D99" s="798" t="s">
        <v>307</v>
      </c>
      <c r="E99" s="46">
        <f>AVERAGE(C99:C101)</f>
        <v>0.8758999999999999</v>
      </c>
      <c r="F99" s="46">
        <f>167.77*E99 - 15.94</f>
        <v>131.00974299999999</v>
      </c>
      <c r="G99" s="46">
        <v>92.387685000000005</v>
      </c>
      <c r="H99" s="136">
        <f>AVERAGE(F99:G99)</f>
        <v>111.698714</v>
      </c>
    </row>
    <row r="100" spans="3:9" x14ac:dyDescent="0.25">
      <c r="C100" s="26">
        <v>0.86429999999999996</v>
      </c>
      <c r="D100" s="799">
        <v>7915</v>
      </c>
      <c r="E100" s="21"/>
      <c r="F100" s="21"/>
      <c r="G100" s="21"/>
      <c r="H100" s="35"/>
    </row>
    <row r="101" spans="3:9" x14ac:dyDescent="0.25">
      <c r="C101" s="26"/>
      <c r="D101" s="212"/>
      <c r="E101" s="21"/>
      <c r="F101" s="21"/>
      <c r="G101" s="21"/>
      <c r="H101" s="35"/>
    </row>
    <row r="102" spans="3:9" x14ac:dyDescent="0.25">
      <c r="C102" s="26">
        <v>0.66539999999999999</v>
      </c>
      <c r="D102" s="799" t="s">
        <v>307</v>
      </c>
      <c r="E102" s="21">
        <f>AVERAGE(C102:C104)</f>
        <v>0.66835</v>
      </c>
      <c r="F102" s="21">
        <f>167.77*E102 - 15.94</f>
        <v>96.189079500000005</v>
      </c>
      <c r="G102" s="21">
        <v>73.629784999999998</v>
      </c>
      <c r="H102" s="35">
        <f>AVERAGE(F102:G102)</f>
        <v>84.909432250000009</v>
      </c>
    </row>
    <row r="103" spans="3:9" x14ac:dyDescent="0.25">
      <c r="C103" s="26">
        <v>0.67130000000000001</v>
      </c>
      <c r="D103" s="799">
        <v>7916</v>
      </c>
      <c r="E103" s="21"/>
      <c r="F103" s="21"/>
      <c r="G103" s="21"/>
      <c r="H103" s="35"/>
    </row>
    <row r="104" spans="3:9" x14ac:dyDescent="0.25">
      <c r="C104" s="26"/>
      <c r="D104" s="212"/>
      <c r="E104" s="21"/>
      <c r="F104" s="21"/>
      <c r="G104" s="21"/>
      <c r="H104" s="35"/>
    </row>
    <row r="105" spans="3:9" x14ac:dyDescent="0.25">
      <c r="C105" s="26">
        <v>0.67420000000000002</v>
      </c>
      <c r="D105" s="799" t="s">
        <v>307</v>
      </c>
      <c r="E105" s="21">
        <f>AVERAGE(C105:C107)</f>
        <v>0.65965000000000007</v>
      </c>
      <c r="F105" s="21">
        <f>167.77*E105 - 15.94</f>
        <v>94.729480500000022</v>
      </c>
      <c r="G105" s="21">
        <v>77.196740000000005</v>
      </c>
      <c r="H105" s="35">
        <f>AVERAGE(F105:G105)</f>
        <v>85.963110250000014</v>
      </c>
    </row>
    <row r="106" spans="3:9" x14ac:dyDescent="0.25">
      <c r="C106" s="26">
        <v>0.64510000000000001</v>
      </c>
      <c r="D106" s="799">
        <v>7930</v>
      </c>
      <c r="E106" s="21"/>
      <c r="F106" s="21"/>
      <c r="G106" s="21"/>
      <c r="H106" s="35"/>
    </row>
    <row r="107" spans="3:9" x14ac:dyDescent="0.25">
      <c r="C107" s="26"/>
      <c r="D107" s="212"/>
      <c r="E107" s="21"/>
      <c r="F107" s="21"/>
      <c r="G107" s="21"/>
      <c r="H107" s="35"/>
    </row>
    <row r="108" spans="3:9" x14ac:dyDescent="0.25">
      <c r="C108" s="26">
        <v>0.65429999999999999</v>
      </c>
      <c r="D108" s="799" t="s">
        <v>307</v>
      </c>
      <c r="E108" s="21">
        <f>AVERAGE(C108:C110)</f>
        <v>0.65144999999999997</v>
      </c>
      <c r="F108" s="21">
        <f>167.77*E108 - 15.94</f>
        <v>93.353766500000006</v>
      </c>
      <c r="G108" s="21">
        <v>78.850979999999993</v>
      </c>
      <c r="H108" s="35">
        <f>AVERAGE(F108:G108)</f>
        <v>86.102373249999999</v>
      </c>
    </row>
    <row r="109" spans="3:9" x14ac:dyDescent="0.25">
      <c r="C109" s="26">
        <v>0.64859999999999995</v>
      </c>
      <c r="D109" s="799">
        <v>7617</v>
      </c>
      <c r="E109" s="21"/>
      <c r="F109" s="21"/>
      <c r="G109" s="21"/>
      <c r="H109" s="35"/>
    </row>
    <row r="110" spans="3:9" x14ac:dyDescent="0.25">
      <c r="C110" s="26"/>
      <c r="D110" s="212"/>
      <c r="E110" s="21"/>
      <c r="F110" s="21"/>
      <c r="G110" s="21"/>
      <c r="H110" s="35"/>
    </row>
    <row r="111" spans="3:9" x14ac:dyDescent="0.25">
      <c r="C111" s="26">
        <v>0.61180000000000001</v>
      </c>
      <c r="D111" s="799" t="s">
        <v>307</v>
      </c>
      <c r="E111" s="21">
        <f>AVERAGE(C111:C113)</f>
        <v>0.61770000000000003</v>
      </c>
      <c r="F111" s="21">
        <f>167.77*E111 - 15.94</f>
        <v>87.691529000000017</v>
      </c>
      <c r="G111" s="21">
        <v>67.226990000000001</v>
      </c>
      <c r="H111" s="35">
        <f>AVERAGE(F111:G111)</f>
        <v>77.459259500000002</v>
      </c>
    </row>
    <row r="112" spans="3:9" x14ac:dyDescent="0.25">
      <c r="C112" s="26">
        <v>0.62360000000000004</v>
      </c>
      <c r="D112" s="799">
        <v>7618</v>
      </c>
      <c r="E112" s="21"/>
      <c r="F112" s="21"/>
      <c r="G112" s="21"/>
      <c r="H112" s="35"/>
    </row>
    <row r="113" spans="3:8" x14ac:dyDescent="0.25">
      <c r="C113" s="26"/>
      <c r="D113" s="212"/>
      <c r="E113" s="21"/>
      <c r="F113" s="21"/>
      <c r="G113" s="21"/>
      <c r="H113" s="35"/>
    </row>
    <row r="114" spans="3:8" x14ac:dyDescent="0.25">
      <c r="C114" s="26">
        <v>0.77680000000000005</v>
      </c>
      <c r="D114" s="799" t="s">
        <v>307</v>
      </c>
      <c r="E114" s="21">
        <f>AVERAGE(C114:C116)</f>
        <v>0.7671</v>
      </c>
      <c r="F114" s="21">
        <f>167.77*E114 - 15.94</f>
        <v>112.75636700000001</v>
      </c>
      <c r="G114" s="21">
        <v>100.038545</v>
      </c>
      <c r="H114" s="35">
        <f>AVERAGE(F114:G114)</f>
        <v>106.39745600000001</v>
      </c>
    </row>
    <row r="115" spans="3:8" x14ac:dyDescent="0.25">
      <c r="C115" s="26">
        <v>0.75739999999999996</v>
      </c>
      <c r="D115" s="799">
        <v>7520</v>
      </c>
      <c r="E115" s="21"/>
      <c r="F115" s="21"/>
      <c r="G115" s="21"/>
      <c r="H115" s="35"/>
    </row>
    <row r="116" spans="3:8" ht="13.8" thickBot="1" x14ac:dyDescent="0.3">
      <c r="C116" s="27"/>
      <c r="D116" s="515"/>
      <c r="E116" s="29"/>
      <c r="F116" s="29"/>
      <c r="G116" s="29"/>
      <c r="H116" s="36"/>
    </row>
    <row r="117" spans="3:8" x14ac:dyDescent="0.25">
      <c r="C117" s="305">
        <v>0.4486</v>
      </c>
      <c r="D117" s="522" t="s">
        <v>321</v>
      </c>
      <c r="E117" s="46">
        <f>AVERAGE(C117:C119)</f>
        <v>0.46794999999999998</v>
      </c>
      <c r="F117" s="46">
        <f>167.77*E117 - 15.94</f>
        <v>62.567971499999999</v>
      </c>
      <c r="G117" s="46">
        <v>52.612074999999997</v>
      </c>
      <c r="H117" s="136">
        <f>AVERAGE(F117:G117)</f>
        <v>57.590023250000002</v>
      </c>
    </row>
    <row r="118" spans="3:8" x14ac:dyDescent="0.25">
      <c r="C118" s="26">
        <v>0.48730000000000001</v>
      </c>
      <c r="D118" s="523">
        <v>7595</v>
      </c>
      <c r="E118" s="21"/>
      <c r="F118" s="21"/>
      <c r="G118" s="21"/>
      <c r="H118" s="35"/>
    </row>
    <row r="119" spans="3:8" x14ac:dyDescent="0.25">
      <c r="C119" s="26"/>
      <c r="D119" s="212"/>
      <c r="E119" s="21"/>
      <c r="F119" s="21"/>
      <c r="G119" s="21"/>
      <c r="H119" s="35"/>
    </row>
    <row r="120" spans="3:8" x14ac:dyDescent="0.25">
      <c r="C120" s="26">
        <v>0.4753</v>
      </c>
      <c r="D120" s="522" t="s">
        <v>321</v>
      </c>
      <c r="E120" s="21">
        <f>AVERAGE(C120:C122)</f>
        <v>0.48599999999999999</v>
      </c>
      <c r="F120" s="21">
        <f>167.77*E120 - 15.94</f>
        <v>65.596220000000002</v>
      </c>
      <c r="G120" s="21">
        <v>49.111584999999984</v>
      </c>
      <c r="H120" s="35">
        <f>AVERAGE(F120:G120)</f>
        <v>57.35390249999999</v>
      </c>
    </row>
    <row r="121" spans="3:8" x14ac:dyDescent="0.25">
      <c r="C121" s="26">
        <v>0.49669999999999997</v>
      </c>
      <c r="D121" s="523">
        <v>7592</v>
      </c>
      <c r="E121" s="21"/>
      <c r="F121" s="21"/>
      <c r="G121" s="21"/>
      <c r="H121" s="35"/>
    </row>
    <row r="122" spans="3:8" x14ac:dyDescent="0.25">
      <c r="C122" s="26"/>
      <c r="D122" s="212"/>
      <c r="E122" s="21"/>
      <c r="F122" s="21"/>
      <c r="G122" s="21"/>
      <c r="H122" s="35"/>
    </row>
    <row r="123" spans="3:8" x14ac:dyDescent="0.25">
      <c r="C123" s="26">
        <v>0.52759999999999996</v>
      </c>
      <c r="D123" s="522" t="s">
        <v>321</v>
      </c>
      <c r="E123" s="21">
        <f>AVERAGE(C123:C125)</f>
        <v>0.50559999999999994</v>
      </c>
      <c r="F123" s="21">
        <f>167.77*E123 - 15.94</f>
        <v>68.884512000000001</v>
      </c>
      <c r="G123" s="21">
        <v>41.652735</v>
      </c>
      <c r="H123" s="35">
        <f>AVERAGE(F123:G123)</f>
        <v>55.268623500000004</v>
      </c>
    </row>
    <row r="124" spans="3:8" x14ac:dyDescent="0.25">
      <c r="C124" s="26">
        <v>0.48359999999999997</v>
      </c>
      <c r="D124" s="523">
        <v>7591</v>
      </c>
      <c r="E124" s="21"/>
      <c r="F124" s="21"/>
      <c r="G124" s="21"/>
      <c r="H124" s="35"/>
    </row>
    <row r="125" spans="3:8" ht="13.8" thickBot="1" x14ac:dyDescent="0.3">
      <c r="C125" s="27"/>
      <c r="D125" s="515"/>
      <c r="E125" s="29"/>
      <c r="F125" s="29"/>
      <c r="G125" s="29"/>
      <c r="H125" s="36"/>
    </row>
    <row r="126" spans="3:8" x14ac:dyDescent="0.25">
      <c r="C126" s="305">
        <v>0.44779999999999998</v>
      </c>
      <c r="D126" s="524" t="s">
        <v>322</v>
      </c>
      <c r="E126" s="46">
        <f>AVERAGE(C126:C128)</f>
        <v>0.46750000000000003</v>
      </c>
      <c r="F126" s="46">
        <f>167.77*E126 - 15.94</f>
        <v>62.492475000000013</v>
      </c>
      <c r="G126" s="46">
        <v>49.694999999999986</v>
      </c>
      <c r="H126" s="136">
        <f>AVERAGE(F126:G126)</f>
        <v>56.093737500000003</v>
      </c>
    </row>
    <row r="127" spans="3:8" x14ac:dyDescent="0.25">
      <c r="C127" s="26">
        <v>0.48720000000000002</v>
      </c>
      <c r="D127" s="525">
        <v>7414</v>
      </c>
      <c r="E127" s="21"/>
      <c r="F127" s="21"/>
      <c r="G127" s="21"/>
      <c r="H127" s="35"/>
    </row>
    <row r="128" spans="3:8" x14ac:dyDescent="0.25">
      <c r="C128" s="26"/>
      <c r="D128" s="212"/>
      <c r="E128" s="21"/>
      <c r="F128" s="21"/>
      <c r="G128" s="21"/>
      <c r="H128" s="35"/>
    </row>
    <row r="129" spans="3:8" x14ac:dyDescent="0.25">
      <c r="C129" s="26">
        <v>0.50619999999999998</v>
      </c>
      <c r="D129" s="524" t="s">
        <v>322</v>
      </c>
      <c r="E129" s="21">
        <f>AVERAGE(C129:C131)</f>
        <v>0.47494999999999998</v>
      </c>
      <c r="F129" s="21">
        <f>167.77*E129 - 15.94</f>
        <v>63.742361500000001</v>
      </c>
      <c r="G129" s="21">
        <v>38.107934999999998</v>
      </c>
      <c r="H129" s="35">
        <f>AVERAGE(F129:G129)</f>
        <v>50.925148249999999</v>
      </c>
    </row>
    <row r="130" spans="3:8" x14ac:dyDescent="0.25">
      <c r="C130" s="26">
        <v>0.44369999999999998</v>
      </c>
      <c r="D130" s="525">
        <v>7793</v>
      </c>
      <c r="E130" s="21"/>
      <c r="F130" s="21"/>
      <c r="G130" s="21"/>
      <c r="H130" s="35"/>
    </row>
    <row r="131" spans="3:8" x14ac:dyDescent="0.25">
      <c r="C131" s="26"/>
      <c r="D131" s="212"/>
      <c r="E131" s="21"/>
      <c r="F131" s="21"/>
      <c r="G131" s="21"/>
      <c r="H131" s="35"/>
    </row>
    <row r="132" spans="3:8" x14ac:dyDescent="0.25">
      <c r="C132" s="26">
        <v>0.52610000000000001</v>
      </c>
      <c r="D132" s="524" t="s">
        <v>322</v>
      </c>
      <c r="E132" s="21">
        <f>AVERAGE(C132:C134)</f>
        <v>0.51324999999999998</v>
      </c>
      <c r="F132" s="21">
        <f>167.77*E132 - 15.94</f>
        <v>70.167952499999998</v>
      </c>
      <c r="G132" s="21">
        <v>54.118614999999998</v>
      </c>
      <c r="H132" s="35">
        <f>AVERAGE(F132:G132)</f>
        <v>62.143283749999995</v>
      </c>
    </row>
    <row r="133" spans="3:8" x14ac:dyDescent="0.25">
      <c r="C133" s="26">
        <v>0.50039999999999996</v>
      </c>
      <c r="D133" s="525">
        <v>8077</v>
      </c>
      <c r="E133" s="21"/>
      <c r="F133" s="21"/>
      <c r="G133" s="21"/>
      <c r="H133" s="35"/>
    </row>
    <row r="134" spans="3:8" x14ac:dyDescent="0.25">
      <c r="C134" s="26"/>
      <c r="D134" s="212"/>
      <c r="E134" s="21"/>
      <c r="F134" s="21"/>
      <c r="G134" s="21"/>
      <c r="H134" s="35"/>
    </row>
    <row r="135" spans="3:8" x14ac:dyDescent="0.25">
      <c r="C135" s="26">
        <v>0.40860000000000002</v>
      </c>
      <c r="D135" s="524" t="s">
        <v>322</v>
      </c>
      <c r="E135" s="21">
        <f>AVERAGE(C135:C137)</f>
        <v>0.39150000000000001</v>
      </c>
      <c r="F135" s="21">
        <f>167.77*E135 - 15.94</f>
        <v>49.741955000000004</v>
      </c>
      <c r="G135" s="21">
        <v>39.813870000000001</v>
      </c>
      <c r="H135" s="35">
        <f>AVERAGE(F135:G135)</f>
        <v>44.777912499999999</v>
      </c>
    </row>
    <row r="136" spans="3:8" x14ac:dyDescent="0.25">
      <c r="C136" s="26">
        <v>0.37440000000000001</v>
      </c>
      <c r="D136" s="525">
        <v>7691</v>
      </c>
      <c r="E136" s="21"/>
      <c r="F136" s="21"/>
      <c r="G136" s="21"/>
      <c r="H136" s="35"/>
    </row>
    <row r="137" spans="3:8" ht="13.8" thickBot="1" x14ac:dyDescent="0.3">
      <c r="C137" s="27"/>
      <c r="D137" s="515"/>
      <c r="E137" s="29"/>
      <c r="F137" s="29"/>
      <c r="G137" s="29"/>
      <c r="H137" s="36"/>
    </row>
    <row r="138" spans="3:8" x14ac:dyDescent="0.25">
      <c r="C138" s="305">
        <v>0.51280000000000003</v>
      </c>
      <c r="D138" s="526" t="s">
        <v>323</v>
      </c>
      <c r="E138" s="46">
        <f>AVERAGE(C138:C140)</f>
        <v>0.50814999999999999</v>
      </c>
      <c r="F138" s="46">
        <f>167.77*E138 - 15.94</f>
        <v>69.3123255</v>
      </c>
      <c r="G138" s="46">
        <v>57.109539999999988</v>
      </c>
      <c r="H138" s="136">
        <f>AVERAGE(F138:G138)</f>
        <v>63.210932749999998</v>
      </c>
    </row>
    <row r="139" spans="3:8" x14ac:dyDescent="0.25">
      <c r="C139" s="26">
        <v>0.50349999999999995</v>
      </c>
      <c r="D139" s="527">
        <v>7665</v>
      </c>
      <c r="E139" s="21"/>
      <c r="F139" s="21"/>
      <c r="G139" s="21"/>
      <c r="H139" s="35"/>
    </row>
    <row r="140" spans="3:8" x14ac:dyDescent="0.25">
      <c r="C140" s="26"/>
      <c r="D140" s="212"/>
      <c r="E140" s="21"/>
      <c r="F140" s="21"/>
      <c r="G140" s="21"/>
      <c r="H140" s="35"/>
    </row>
    <row r="141" spans="3:8" x14ac:dyDescent="0.25">
      <c r="C141" s="26">
        <v>0.54779999999999995</v>
      </c>
      <c r="D141" s="526" t="s">
        <v>323</v>
      </c>
      <c r="E141" s="21">
        <f>AVERAGE(C141:C143)</f>
        <v>0.51764999999999994</v>
      </c>
      <c r="F141" s="21">
        <f>167.77*E141 - 15.94</f>
        <v>70.906140499999992</v>
      </c>
      <c r="G141" s="21">
        <v>63.076619999999998</v>
      </c>
      <c r="H141" s="35">
        <f>AVERAGE(F141:G141)</f>
        <v>66.991380249999992</v>
      </c>
    </row>
    <row r="142" spans="3:8" x14ac:dyDescent="0.25">
      <c r="C142" s="26">
        <v>0.48749999999999999</v>
      </c>
      <c r="D142" s="527">
        <v>7055</v>
      </c>
      <c r="E142" s="21"/>
      <c r="F142" s="21"/>
      <c r="G142" s="21"/>
      <c r="H142" s="35"/>
    </row>
    <row r="143" spans="3:8" x14ac:dyDescent="0.25">
      <c r="C143" s="26"/>
      <c r="D143" s="212"/>
      <c r="E143" s="21"/>
      <c r="F143" s="21"/>
      <c r="G143" s="21"/>
      <c r="H143" s="35"/>
    </row>
    <row r="144" spans="3:8" x14ac:dyDescent="0.25">
      <c r="C144" s="26">
        <v>0.47239999999999999</v>
      </c>
      <c r="D144" s="526" t="s">
        <v>323</v>
      </c>
      <c r="E144" s="21">
        <f>AVERAGE(C144:C146)</f>
        <v>0.48785000000000001</v>
      </c>
      <c r="F144" s="21">
        <f>167.77*E144 - 15.94</f>
        <v>65.906594500000011</v>
      </c>
      <c r="G144" s="21">
        <v>55.078664999999994</v>
      </c>
      <c r="H144" s="35">
        <f>AVERAGE(F144:G144)</f>
        <v>60.492629750000006</v>
      </c>
    </row>
    <row r="145" spans="3:8" x14ac:dyDescent="0.25">
      <c r="C145" s="26">
        <v>0.50329999999999997</v>
      </c>
      <c r="D145" s="527">
        <v>7298</v>
      </c>
      <c r="E145" s="21"/>
      <c r="F145" s="21"/>
      <c r="G145" s="21"/>
      <c r="H145" s="35"/>
    </row>
    <row r="146" spans="3:8" ht="13.8" thickBot="1" x14ac:dyDescent="0.3">
      <c r="C146" s="30"/>
      <c r="D146" s="528"/>
      <c r="E146" s="32"/>
      <c r="F146" s="32"/>
      <c r="G146" s="32"/>
      <c r="H146" s="37"/>
    </row>
    <row r="147" spans="3:8" x14ac:dyDescent="0.25">
      <c r="C147" s="24">
        <v>0.47649999999999998</v>
      </c>
      <c r="D147" s="516" t="s">
        <v>324</v>
      </c>
      <c r="E147" s="25">
        <f>AVERAGE(C147:C149)</f>
        <v>0.48614999999999997</v>
      </c>
      <c r="F147" s="25">
        <f>167.77*E147 - 15.94</f>
        <v>65.621385500000002</v>
      </c>
      <c r="G147" s="25">
        <v>53.136409999999991</v>
      </c>
      <c r="H147" s="52">
        <f>AVERAGE(F147:G147)</f>
        <v>59.378897749999993</v>
      </c>
    </row>
    <row r="148" spans="3:8" x14ac:dyDescent="0.25">
      <c r="C148" s="26">
        <v>0.49580000000000002</v>
      </c>
      <c r="D148" s="529">
        <v>7632</v>
      </c>
      <c r="E148" s="21"/>
      <c r="F148" s="21"/>
      <c r="G148" s="21"/>
      <c r="H148" s="35"/>
    </row>
    <row r="149" spans="3:8" ht="13.8" thickBot="1" x14ac:dyDescent="0.3">
      <c r="C149" s="26"/>
      <c r="D149" s="212"/>
      <c r="E149" s="21"/>
      <c r="F149" s="21"/>
      <c r="G149" s="21"/>
      <c r="H149" s="35"/>
    </row>
    <row r="150" spans="3:8" x14ac:dyDescent="0.25">
      <c r="C150" s="26">
        <v>0.4869</v>
      </c>
      <c r="D150" s="516" t="s">
        <v>324</v>
      </c>
      <c r="E150" s="21">
        <f>AVERAGE(C150:C152)</f>
        <v>0.52715000000000001</v>
      </c>
      <c r="F150" s="21">
        <f>167.77*E150 - 15.94</f>
        <v>72.499955500000013</v>
      </c>
      <c r="G150" s="21">
        <v>63.076619999999998</v>
      </c>
      <c r="H150" s="35">
        <f>AVERAGE(F150:G150)</f>
        <v>67.788287750000009</v>
      </c>
    </row>
    <row r="151" spans="3:8" x14ac:dyDescent="0.25">
      <c r="C151" s="26">
        <v>0.56740000000000002</v>
      </c>
      <c r="D151" s="529">
        <v>7508</v>
      </c>
      <c r="E151" s="21"/>
      <c r="F151" s="21"/>
      <c r="G151" s="21"/>
      <c r="H151" s="35"/>
    </row>
    <row r="152" spans="3:8" ht="13.8" thickBot="1" x14ac:dyDescent="0.3">
      <c r="C152" s="26"/>
      <c r="D152" s="212"/>
      <c r="E152" s="21"/>
      <c r="F152" s="21"/>
      <c r="G152" s="21"/>
      <c r="H152" s="35"/>
    </row>
    <row r="153" spans="3:8" x14ac:dyDescent="0.25">
      <c r="C153" s="26">
        <v>0.50370000000000004</v>
      </c>
      <c r="D153" s="516" t="s">
        <v>324</v>
      </c>
      <c r="E153" s="21">
        <f>AVERAGE(C153:C155)</f>
        <v>0.48115000000000002</v>
      </c>
      <c r="F153" s="21">
        <f>167.77*E153 - 15.94</f>
        <v>64.782535500000009</v>
      </c>
      <c r="G153" s="21">
        <v>55.078664999999994</v>
      </c>
      <c r="H153" s="35">
        <f>AVERAGE(F153:G153)</f>
        <v>59.930600249999998</v>
      </c>
    </row>
    <row r="154" spans="3:8" x14ac:dyDescent="0.25">
      <c r="C154" s="26">
        <v>0.45860000000000001</v>
      </c>
      <c r="D154" s="529">
        <v>7509</v>
      </c>
      <c r="E154" s="21"/>
      <c r="F154" s="21"/>
      <c r="G154" s="21"/>
      <c r="H154" s="35"/>
    </row>
    <row r="155" spans="3:8" ht="13.8" thickBot="1" x14ac:dyDescent="0.3">
      <c r="C155" s="26"/>
      <c r="D155" s="212"/>
      <c r="E155" s="21"/>
      <c r="F155" s="21"/>
      <c r="G155" s="21"/>
      <c r="H155" s="35"/>
    </row>
    <row r="156" spans="3:8" x14ac:dyDescent="0.25">
      <c r="C156" s="26">
        <v>0.45860000000000001</v>
      </c>
      <c r="D156" s="516" t="s">
        <v>324</v>
      </c>
      <c r="E156" s="21">
        <f>AVERAGE(C156:C158)</f>
        <v>0.49170000000000003</v>
      </c>
      <c r="F156" s="21">
        <f>167.77*E156 - 15.94</f>
        <v>66.552509000000015</v>
      </c>
      <c r="G156" s="21">
        <v>53.136409999999991</v>
      </c>
      <c r="H156" s="35">
        <f>AVERAGE(F156:G156)</f>
        <v>59.844459499999999</v>
      </c>
    </row>
    <row r="157" spans="3:8" x14ac:dyDescent="0.25">
      <c r="C157" s="26">
        <v>0.52480000000000004</v>
      </c>
      <c r="D157" s="529">
        <v>7057</v>
      </c>
      <c r="E157" s="21"/>
      <c r="F157" s="21"/>
      <c r="G157" s="21"/>
      <c r="H157" s="35"/>
    </row>
    <row r="158" spans="3:8" ht="13.8" thickBot="1" x14ac:dyDescent="0.3">
      <c r="C158" s="27"/>
      <c r="D158" s="515"/>
      <c r="E158" s="29"/>
      <c r="F158" s="29"/>
      <c r="G158" s="29"/>
      <c r="H158" s="36"/>
    </row>
    <row r="159" spans="3:8" x14ac:dyDescent="0.25">
      <c r="D159" s="1"/>
    </row>
    <row r="160" spans="3:8" x14ac:dyDescent="0.25">
      <c r="D160" s="5"/>
    </row>
    <row r="161" spans="3:10" ht="13.8" x14ac:dyDescent="0.25">
      <c r="D161" s="804">
        <v>44522</v>
      </c>
    </row>
    <row r="162" spans="3:10" ht="13.8" thickBot="1" x14ac:dyDescent="0.3"/>
    <row r="163" spans="3:10" ht="13.8" thickBot="1" x14ac:dyDescent="0.3">
      <c r="D163" s="795" t="s">
        <v>309</v>
      </c>
    </row>
    <row r="164" spans="3:10" ht="13.8" thickBot="1" x14ac:dyDescent="0.3">
      <c r="D164" s="51"/>
      <c r="F164" s="51" t="s">
        <v>5</v>
      </c>
      <c r="G164" s="1" t="s">
        <v>6</v>
      </c>
      <c r="H164" s="1" t="s">
        <v>310</v>
      </c>
      <c r="I164" t="s">
        <v>7</v>
      </c>
      <c r="J164" s="1" t="s">
        <v>204</v>
      </c>
    </row>
    <row r="165" spans="3:10" x14ac:dyDescent="0.25">
      <c r="C165" s="24">
        <v>0.996</v>
      </c>
      <c r="D165" s="404" t="s">
        <v>314</v>
      </c>
      <c r="E165" s="25"/>
      <c r="F165" s="25"/>
      <c r="G165" s="25"/>
      <c r="H165" s="25"/>
      <c r="I165" s="25"/>
      <c r="J165" s="52"/>
    </row>
    <row r="166" spans="3:10" x14ac:dyDescent="0.25">
      <c r="C166" s="26">
        <v>1.171</v>
      </c>
      <c r="D166" s="405">
        <v>6249</v>
      </c>
      <c r="E166" s="21">
        <f>AVERAGE(C165:C167)</f>
        <v>1.097</v>
      </c>
      <c r="F166" s="21">
        <f>186.29*E166 - 42.536</f>
        <v>161.82413</v>
      </c>
      <c r="G166" s="21">
        <v>185.35368500000001</v>
      </c>
      <c r="H166" s="21">
        <v>109.44148999999999</v>
      </c>
      <c r="I166" s="21">
        <f>AVERAGE(F166:H166)</f>
        <v>152.206435</v>
      </c>
      <c r="J166" s="35">
        <f>I166-121.29</f>
        <v>30.916434999999993</v>
      </c>
    </row>
    <row r="167" spans="3:10" x14ac:dyDescent="0.25">
      <c r="C167" s="26">
        <v>1.1240000000000001</v>
      </c>
      <c r="D167" s="23"/>
      <c r="E167" s="21"/>
      <c r="F167" s="21"/>
      <c r="G167" s="21"/>
      <c r="H167" s="21"/>
      <c r="I167" s="21"/>
      <c r="J167" s="35"/>
    </row>
    <row r="168" spans="3:10" x14ac:dyDescent="0.25">
      <c r="C168" s="26">
        <v>0.98399999999999999</v>
      </c>
      <c r="D168" s="405" t="s">
        <v>314</v>
      </c>
      <c r="E168" s="21">
        <f>AVERAGE(C168:C170)</f>
        <v>1.024</v>
      </c>
      <c r="F168" s="21">
        <f>186.29*E168 - 42.536</f>
        <v>148.22495999999998</v>
      </c>
      <c r="G168" s="21">
        <v>160.98495</v>
      </c>
      <c r="H168" s="21">
        <v>117.34146000000001</v>
      </c>
      <c r="I168" s="21">
        <f>AVERAGE(F168:H168)</f>
        <v>142.18379000000002</v>
      </c>
      <c r="J168" s="35">
        <f>I168-121.29</f>
        <v>20.89379000000001</v>
      </c>
    </row>
    <row r="169" spans="3:10" x14ac:dyDescent="0.25">
      <c r="C169" s="26">
        <v>1.115</v>
      </c>
      <c r="D169" s="405">
        <v>6079</v>
      </c>
      <c r="E169" s="21"/>
      <c r="F169" s="21"/>
      <c r="G169" s="21"/>
      <c r="H169" s="21"/>
      <c r="I169" s="21"/>
      <c r="J169" s="35"/>
    </row>
    <row r="170" spans="3:10" x14ac:dyDescent="0.25">
      <c r="C170" s="26">
        <v>0.97299999999999998</v>
      </c>
      <c r="D170" s="23"/>
      <c r="E170" s="21"/>
      <c r="F170" s="21"/>
      <c r="G170" s="21"/>
      <c r="H170" s="21"/>
      <c r="I170" s="21"/>
      <c r="J170" s="35"/>
    </row>
    <row r="171" spans="3:10" x14ac:dyDescent="0.25">
      <c r="C171" s="26">
        <v>0.84699999999999998</v>
      </c>
      <c r="D171" s="405" t="s">
        <v>314</v>
      </c>
      <c r="E171" s="21">
        <f>AVERAGE(C171:C173)</f>
        <v>0.84900000000000009</v>
      </c>
      <c r="F171" s="21">
        <f>186.29*E171 - 42.536</f>
        <v>115.62421000000001</v>
      </c>
      <c r="G171" s="21">
        <v>153.58502000000001</v>
      </c>
      <c r="H171" s="21">
        <v>93.051999999999992</v>
      </c>
      <c r="I171" s="21">
        <f>AVERAGE(F171:H171)</f>
        <v>120.75374333333336</v>
      </c>
      <c r="J171" s="35">
        <f>I171-121.29</f>
        <v>-0.53625666666664529</v>
      </c>
    </row>
    <row r="172" spans="3:10" x14ac:dyDescent="0.25">
      <c r="C172" s="26">
        <v>0.84599999999999997</v>
      </c>
      <c r="D172" s="405">
        <v>6145</v>
      </c>
      <c r="E172" s="21"/>
      <c r="F172" s="21"/>
      <c r="G172" s="21"/>
      <c r="H172" s="21"/>
      <c r="I172" s="21"/>
      <c r="J172" s="35"/>
    </row>
    <row r="173" spans="3:10" x14ac:dyDescent="0.25">
      <c r="C173" s="26">
        <v>0.85399999999999998</v>
      </c>
      <c r="D173" s="23"/>
      <c r="E173" s="21"/>
      <c r="F173" s="21"/>
      <c r="G173" s="21"/>
      <c r="H173" s="21"/>
      <c r="I173" s="21"/>
      <c r="J173" s="35"/>
    </row>
    <row r="174" spans="3:10" x14ac:dyDescent="0.25">
      <c r="C174" s="26">
        <v>0.67300000000000004</v>
      </c>
      <c r="D174" s="405" t="s">
        <v>314</v>
      </c>
      <c r="E174" s="21">
        <f>AVERAGE(C174:C176)</f>
        <v>0.65566666666666673</v>
      </c>
      <c r="F174" s="21">
        <f>186.29*E174 - 42.536</f>
        <v>79.608143333333345</v>
      </c>
      <c r="G174" s="21">
        <v>113.650915</v>
      </c>
      <c r="H174" s="21">
        <v>71.710290000000001</v>
      </c>
      <c r="I174" s="21">
        <f>AVERAGE(F174:H174)</f>
        <v>88.323116111111119</v>
      </c>
      <c r="J174" s="35">
        <f>I174-121.29</f>
        <v>-32.966883888888887</v>
      </c>
    </row>
    <row r="175" spans="3:10" x14ac:dyDescent="0.25">
      <c r="C175" s="26">
        <v>0.64200000000000002</v>
      </c>
      <c r="D175" s="405">
        <v>6180</v>
      </c>
      <c r="E175" s="21"/>
      <c r="F175" s="21"/>
      <c r="G175" s="21"/>
      <c r="H175" s="21"/>
      <c r="I175" s="21"/>
      <c r="J175" s="35"/>
    </row>
    <row r="176" spans="3:10" x14ac:dyDescent="0.25">
      <c r="C176" s="26">
        <v>0.65200000000000002</v>
      </c>
      <c r="D176" s="23"/>
      <c r="E176" s="21"/>
      <c r="F176" s="21"/>
      <c r="G176" s="21"/>
      <c r="H176" s="21"/>
      <c r="I176" s="21"/>
      <c r="J176" s="35"/>
    </row>
    <row r="177" spans="3:10" x14ac:dyDescent="0.25">
      <c r="C177" s="26">
        <v>0.747</v>
      </c>
      <c r="D177" s="405" t="s">
        <v>314</v>
      </c>
      <c r="E177" s="21">
        <f>AVERAGE(C177:C179)</f>
        <v>0.76733333333333331</v>
      </c>
      <c r="F177" s="21">
        <f>186.29*E177 - 42.536</f>
        <v>100.41052666666667</v>
      </c>
      <c r="G177" s="21">
        <v>136.871385</v>
      </c>
      <c r="H177" s="21">
        <v>78.195339999999987</v>
      </c>
      <c r="I177" s="21">
        <f>AVERAGE(F177:H177)</f>
        <v>105.1590838888889</v>
      </c>
      <c r="J177" s="35">
        <f>I177-121.29</f>
        <v>-16.130916111111105</v>
      </c>
    </row>
    <row r="178" spans="3:10" x14ac:dyDescent="0.25">
      <c r="C178" s="26">
        <v>0.79900000000000004</v>
      </c>
      <c r="D178" s="405">
        <v>6186</v>
      </c>
      <c r="E178" s="21"/>
      <c r="F178" s="21"/>
      <c r="G178" s="21"/>
      <c r="H178" s="21"/>
      <c r="I178" s="21"/>
      <c r="J178" s="35"/>
    </row>
    <row r="179" spans="3:10" x14ac:dyDescent="0.25">
      <c r="C179" s="26">
        <v>0.75600000000000001</v>
      </c>
      <c r="D179" s="23"/>
      <c r="E179" s="21"/>
      <c r="F179" s="21"/>
      <c r="G179" s="21"/>
      <c r="H179" s="21"/>
      <c r="I179" s="21"/>
      <c r="J179" s="35"/>
    </row>
    <row r="180" spans="3:10" x14ac:dyDescent="0.25">
      <c r="C180" s="26">
        <v>0.84699999999999998</v>
      </c>
      <c r="D180" s="405" t="s">
        <v>314</v>
      </c>
      <c r="E180" s="21">
        <f>AVERAGE(C180:C182)</f>
        <v>0.86299999999999999</v>
      </c>
      <c r="F180" s="21">
        <f>186.29*E180 - 42.536</f>
        <v>118.23227</v>
      </c>
      <c r="G180" s="21">
        <v>127.43009499999999</v>
      </c>
      <c r="H180" s="21">
        <v>101.30569999999997</v>
      </c>
      <c r="I180" s="21">
        <f>AVERAGE(F180:H180)</f>
        <v>115.65602166666666</v>
      </c>
      <c r="J180" s="35">
        <f>I180-121.29</f>
        <v>-5.6339783333333457</v>
      </c>
    </row>
    <row r="181" spans="3:10" x14ac:dyDescent="0.25">
      <c r="C181" s="26">
        <v>0.88800000000000001</v>
      </c>
      <c r="D181" s="405">
        <v>6076</v>
      </c>
      <c r="E181" s="21"/>
      <c r="F181" s="21"/>
      <c r="G181" s="21"/>
      <c r="H181" s="21"/>
      <c r="I181" s="21"/>
      <c r="J181" s="35"/>
    </row>
    <row r="182" spans="3:10" ht="13.8" thickBot="1" x14ac:dyDescent="0.3">
      <c r="C182" s="27">
        <v>0.85399999999999998</v>
      </c>
      <c r="D182" s="28"/>
      <c r="E182" s="29"/>
      <c r="F182" s="29"/>
      <c r="G182" s="29"/>
      <c r="H182" s="29"/>
      <c r="I182" s="29"/>
      <c r="J182" s="36"/>
    </row>
    <row r="183" spans="3:10" x14ac:dyDescent="0.25">
      <c r="C183" s="305">
        <v>0.76900000000000002</v>
      </c>
      <c r="D183" s="828" t="s">
        <v>304</v>
      </c>
      <c r="E183" s="46">
        <f>AVERAGE(C183:C185)</f>
        <v>0.77566666666666662</v>
      </c>
      <c r="F183" s="46">
        <f>186.29*E183 - 42.536</f>
        <v>101.96294333333333</v>
      </c>
      <c r="G183" s="46">
        <v>139.93342499999997</v>
      </c>
      <c r="H183" s="46">
        <v>46.477550000000008</v>
      </c>
      <c r="I183" s="46">
        <f>AVERAGE(F183:H183)</f>
        <v>96.124639444444441</v>
      </c>
      <c r="J183" s="136"/>
    </row>
    <row r="184" spans="3:10" x14ac:dyDescent="0.25">
      <c r="C184" s="26">
        <v>0.79200000000000004</v>
      </c>
      <c r="D184" s="729">
        <v>6140</v>
      </c>
      <c r="E184" s="21"/>
      <c r="F184" s="21"/>
      <c r="G184" s="21"/>
      <c r="H184" s="21"/>
      <c r="I184" s="21"/>
      <c r="J184" s="35"/>
    </row>
    <row r="185" spans="3:10" ht="13.8" thickBot="1" x14ac:dyDescent="0.3">
      <c r="C185" s="26">
        <v>0.76600000000000001</v>
      </c>
      <c r="D185" s="805"/>
      <c r="E185" s="21"/>
      <c r="F185" s="21"/>
      <c r="G185" s="21"/>
      <c r="H185" s="21"/>
      <c r="I185" s="21"/>
      <c r="J185" s="35"/>
    </row>
    <row r="186" spans="3:10" x14ac:dyDescent="0.25">
      <c r="C186" s="26">
        <v>0.84299999999999997</v>
      </c>
      <c r="D186" s="828" t="s">
        <v>304</v>
      </c>
      <c r="E186" s="21">
        <f>AVERAGE(C186:C188)</f>
        <v>0.83566666666666656</v>
      </c>
      <c r="F186" s="21">
        <f>186.29*E186 - 42.536</f>
        <v>113.14034333333331</v>
      </c>
      <c r="G186" s="21">
        <v>161.367705</v>
      </c>
      <c r="H186" s="21">
        <v>99.772870000000012</v>
      </c>
      <c r="I186" s="21">
        <f>AVERAGE(F186:H186)</f>
        <v>124.76030611111111</v>
      </c>
      <c r="J186" s="35"/>
    </row>
    <row r="187" spans="3:10" x14ac:dyDescent="0.25">
      <c r="C187" s="26">
        <v>0.83899999999999997</v>
      </c>
      <c r="D187" s="729">
        <v>6181</v>
      </c>
      <c r="E187" s="21"/>
      <c r="F187" s="21"/>
      <c r="G187" s="21"/>
      <c r="H187" s="21"/>
      <c r="I187" s="21"/>
      <c r="J187" s="35"/>
    </row>
    <row r="188" spans="3:10" ht="13.8" thickBot="1" x14ac:dyDescent="0.3">
      <c r="C188" s="26">
        <v>0.82499999999999996</v>
      </c>
      <c r="D188" s="805"/>
      <c r="E188" s="21"/>
      <c r="F188" s="21"/>
      <c r="G188" s="21"/>
      <c r="H188" s="21"/>
      <c r="I188" s="21"/>
      <c r="J188" s="35"/>
    </row>
    <row r="189" spans="3:10" x14ac:dyDescent="0.25">
      <c r="C189" s="26">
        <v>0.82299999999999995</v>
      </c>
      <c r="D189" s="828" t="s">
        <v>304</v>
      </c>
      <c r="E189" s="21">
        <f>AVERAGE(C189:C191)</f>
        <v>0.79799999999999993</v>
      </c>
      <c r="F189" s="21">
        <f>186.29*E189 - 42.536</f>
        <v>106.12341999999998</v>
      </c>
      <c r="G189" s="21">
        <v>117.09571</v>
      </c>
      <c r="H189" s="21">
        <v>107.31910999999999</v>
      </c>
      <c r="I189" s="21">
        <f>AVERAGE(F189:H189)</f>
        <v>110.17941333333333</v>
      </c>
      <c r="J189" s="35"/>
    </row>
    <row r="190" spans="3:10" x14ac:dyDescent="0.25">
      <c r="C190" s="26">
        <v>0.74299999999999999</v>
      </c>
      <c r="D190" s="729">
        <v>6242</v>
      </c>
      <c r="E190" s="21"/>
      <c r="F190" s="21"/>
      <c r="G190" s="21"/>
      <c r="H190" s="21"/>
      <c r="I190" s="21"/>
      <c r="J190" s="35"/>
    </row>
    <row r="191" spans="3:10" ht="13.8" thickBot="1" x14ac:dyDescent="0.3">
      <c r="C191" s="26">
        <v>0.82799999999999996</v>
      </c>
      <c r="D191" s="805"/>
      <c r="E191" s="21"/>
      <c r="F191" s="21"/>
      <c r="G191" s="21"/>
      <c r="H191" s="21"/>
      <c r="I191" s="21"/>
      <c r="J191" s="35"/>
    </row>
    <row r="192" spans="3:10" x14ac:dyDescent="0.25">
      <c r="C192" s="26">
        <v>0.94</v>
      </c>
      <c r="D192" s="828" t="s">
        <v>304</v>
      </c>
      <c r="E192" s="21">
        <f>AVERAGE(C192:C194)</f>
        <v>1.0109999999999999</v>
      </c>
      <c r="F192" s="21">
        <f>186.29*E192 - 42.536</f>
        <v>145.80318999999997</v>
      </c>
      <c r="G192" s="21">
        <v>185.864025</v>
      </c>
      <c r="H192" s="21">
        <v>130.66529</v>
      </c>
      <c r="I192" s="21">
        <f>AVERAGE(F192:H192)</f>
        <v>154.11083499999998</v>
      </c>
      <c r="J192" s="35"/>
    </row>
    <row r="193" spans="3:10" x14ac:dyDescent="0.25">
      <c r="C193" s="26">
        <v>1.0229999999999999</v>
      </c>
      <c r="D193" s="729">
        <v>6184</v>
      </c>
      <c r="E193" s="21"/>
      <c r="F193" s="21"/>
      <c r="G193" s="21"/>
      <c r="H193" s="21"/>
      <c r="I193" s="21"/>
      <c r="J193" s="35"/>
    </row>
    <row r="194" spans="3:10" ht="13.8" thickBot="1" x14ac:dyDescent="0.3">
      <c r="C194" s="27">
        <v>1.07</v>
      </c>
      <c r="D194" s="1"/>
      <c r="E194" s="32"/>
      <c r="F194" s="32"/>
      <c r="G194" s="32"/>
      <c r="H194" s="32"/>
      <c r="I194" s="32"/>
      <c r="J194" s="37"/>
    </row>
    <row r="195" spans="3:10" x14ac:dyDescent="0.25">
      <c r="C195" s="44">
        <v>0.94699999999999995</v>
      </c>
      <c r="D195" s="848" t="s">
        <v>315</v>
      </c>
      <c r="E195" s="25">
        <f>AVERAGE(C195:C197)</f>
        <v>0.8796666666666666</v>
      </c>
      <c r="F195" s="25">
        <f>186.29*E195 - 42.536</f>
        <v>121.33710333333332</v>
      </c>
      <c r="G195" s="25">
        <v>145.29199500000001</v>
      </c>
      <c r="H195" s="25">
        <v>109.91312999999997</v>
      </c>
      <c r="I195" s="25">
        <f>AVERAGE(F195:H195)</f>
        <v>125.51407611111109</v>
      </c>
      <c r="J195" s="52">
        <f>I195-97.34</f>
        <v>28.174076111111091</v>
      </c>
    </row>
    <row r="196" spans="3:10" x14ac:dyDescent="0.25">
      <c r="C196" s="42">
        <v>0.83799999999999997</v>
      </c>
      <c r="D196" s="849">
        <v>6171</v>
      </c>
      <c r="E196" s="21"/>
      <c r="F196" s="21"/>
      <c r="G196" s="21"/>
      <c r="H196" s="21"/>
      <c r="I196" s="21"/>
      <c r="J196" s="35"/>
    </row>
    <row r="197" spans="3:10" x14ac:dyDescent="0.25">
      <c r="C197" s="42">
        <v>0.85399999999999998</v>
      </c>
      <c r="D197" s="139"/>
      <c r="E197" s="21"/>
      <c r="F197" s="21"/>
      <c r="G197" s="21"/>
      <c r="H197" s="21"/>
      <c r="I197" s="21"/>
      <c r="J197" s="35"/>
    </row>
    <row r="198" spans="3:10" x14ac:dyDescent="0.25">
      <c r="C198" s="42">
        <v>0.92700000000000005</v>
      </c>
      <c r="D198" s="849" t="s">
        <v>315</v>
      </c>
      <c r="E198" s="21">
        <f>AVERAGE(C198:C200)</f>
        <v>0.94833333333333336</v>
      </c>
      <c r="F198" s="21">
        <f>186.29*E198 - 42.536</f>
        <v>134.12901666666667</v>
      </c>
      <c r="G198" s="21">
        <v>130.23696499999997</v>
      </c>
      <c r="H198" s="21">
        <v>125.59515999999999</v>
      </c>
      <c r="I198" s="21">
        <f>AVERAGE(F198:H198)</f>
        <v>129.98704722222223</v>
      </c>
      <c r="J198" s="35">
        <f>I198-97.34</f>
        <v>32.647047222222227</v>
      </c>
    </row>
    <row r="199" spans="3:10" x14ac:dyDescent="0.25">
      <c r="C199" s="42">
        <v>0.99199999999999999</v>
      </c>
      <c r="D199" s="849">
        <v>6172</v>
      </c>
      <c r="E199" s="21"/>
      <c r="F199" s="21"/>
      <c r="G199" s="21"/>
      <c r="H199" s="21"/>
      <c r="I199" s="21"/>
      <c r="J199" s="35"/>
    </row>
    <row r="200" spans="3:10" x14ac:dyDescent="0.25">
      <c r="C200" s="42">
        <v>0.92600000000000005</v>
      </c>
      <c r="D200" s="139"/>
      <c r="E200" s="21"/>
      <c r="F200" s="21"/>
      <c r="G200" s="21"/>
      <c r="H200" s="21"/>
      <c r="I200" s="21"/>
      <c r="J200" s="35"/>
    </row>
    <row r="201" spans="3:10" ht="13.8" x14ac:dyDescent="0.25">
      <c r="C201" s="42">
        <v>0.73099999999999998</v>
      </c>
      <c r="D201" s="850" t="s">
        <v>315</v>
      </c>
      <c r="E201" s="21">
        <f>AVERAGE(C201:C203)</f>
        <v>0.76200000000000001</v>
      </c>
      <c r="F201" s="21">
        <f>186.29*E201 - 42.536</f>
        <v>99.416979999999995</v>
      </c>
      <c r="G201" s="21">
        <v>125.77149</v>
      </c>
      <c r="H201" s="21">
        <v>83.265469999999979</v>
      </c>
      <c r="I201" s="21">
        <f>AVERAGE(F201:H201)</f>
        <v>102.81797999999999</v>
      </c>
      <c r="J201" s="35">
        <f>I201-97.34</f>
        <v>5.4779799999999881</v>
      </c>
    </row>
    <row r="202" spans="3:10" ht="13.8" x14ac:dyDescent="0.25">
      <c r="C202" s="42">
        <v>0.77800000000000002</v>
      </c>
      <c r="D202" s="850">
        <v>6077</v>
      </c>
      <c r="E202" s="21"/>
      <c r="F202" s="21"/>
      <c r="G202" s="21"/>
      <c r="H202" s="21"/>
      <c r="I202" s="21"/>
      <c r="J202" s="35"/>
    </row>
    <row r="203" spans="3:10" x14ac:dyDescent="0.25">
      <c r="C203" s="42">
        <v>0.77700000000000002</v>
      </c>
      <c r="D203" s="139"/>
      <c r="E203" s="21"/>
      <c r="F203" s="21"/>
      <c r="G203" s="21"/>
      <c r="H203" s="21"/>
      <c r="I203" s="21"/>
      <c r="J203" s="35"/>
    </row>
    <row r="204" spans="3:10" x14ac:dyDescent="0.25">
      <c r="C204" s="42">
        <v>0.86899999999999999</v>
      </c>
      <c r="D204" s="849" t="s">
        <v>315</v>
      </c>
      <c r="E204" s="21">
        <f>AVERAGE(C204:C206)</f>
        <v>0.84233333333333338</v>
      </c>
      <c r="F204" s="21">
        <f>186.29*E204 - 42.536</f>
        <v>114.38227666666666</v>
      </c>
      <c r="G204" s="21">
        <v>184.58817499999998</v>
      </c>
      <c r="H204" s="21">
        <v>95.999750000000006</v>
      </c>
      <c r="I204" s="21">
        <f>AVERAGE(F204:H204)</f>
        <v>131.65673388888888</v>
      </c>
      <c r="J204" s="35">
        <f>I204-97.34</f>
        <v>34.316733888888876</v>
      </c>
    </row>
    <row r="205" spans="3:10" x14ac:dyDescent="0.25">
      <c r="C205" s="42">
        <v>0.79200000000000004</v>
      </c>
      <c r="D205" s="849">
        <v>6080</v>
      </c>
      <c r="E205" s="21"/>
      <c r="F205" s="21"/>
      <c r="G205" s="21"/>
      <c r="H205" s="21"/>
      <c r="I205" s="21"/>
      <c r="J205" s="35"/>
    </row>
    <row r="206" spans="3:10" x14ac:dyDescent="0.25">
      <c r="C206" s="42">
        <v>0.86599999999999999</v>
      </c>
      <c r="D206" s="139"/>
      <c r="E206" s="21"/>
      <c r="F206" s="21"/>
      <c r="G206" s="21"/>
      <c r="H206" s="21"/>
      <c r="I206" s="21"/>
      <c r="J206" s="35"/>
    </row>
    <row r="207" spans="3:10" x14ac:dyDescent="0.25">
      <c r="C207" s="42">
        <v>0.84299999999999997</v>
      </c>
      <c r="D207" s="849" t="s">
        <v>315</v>
      </c>
      <c r="E207" s="21">
        <f>AVERAGE(C207:C209)</f>
        <v>0.90233333333333332</v>
      </c>
      <c r="F207" s="21">
        <f>186.29*E207 - 42.536</f>
        <v>125.55967666666666</v>
      </c>
      <c r="G207" s="21">
        <v>225.16020500000002</v>
      </c>
      <c r="H207" s="21">
        <v>116.86982</v>
      </c>
      <c r="I207" s="21">
        <f>AVERAGE(F207:H207)</f>
        <v>155.86323388888889</v>
      </c>
      <c r="J207" s="35">
        <f>I207-97.34</f>
        <v>58.523233888888882</v>
      </c>
    </row>
    <row r="208" spans="3:10" x14ac:dyDescent="0.25">
      <c r="C208" s="42">
        <v>0.93899999999999995</v>
      </c>
      <c r="D208" s="849">
        <v>6078</v>
      </c>
      <c r="E208" s="21"/>
      <c r="F208" s="21"/>
      <c r="G208" s="21"/>
      <c r="H208" s="21"/>
      <c r="I208" s="21"/>
      <c r="J208" s="35"/>
    </row>
    <row r="209" spans="3:10" x14ac:dyDescent="0.25">
      <c r="C209" s="42">
        <v>0.92500000000000004</v>
      </c>
      <c r="D209" s="139"/>
      <c r="E209" s="21"/>
      <c r="F209" s="21"/>
      <c r="G209" s="21"/>
      <c r="H209" s="21"/>
      <c r="I209" s="21"/>
      <c r="J209" s="35"/>
    </row>
    <row r="210" spans="3:10" x14ac:dyDescent="0.25">
      <c r="C210" s="42">
        <v>0.94</v>
      </c>
      <c r="D210" s="849" t="s">
        <v>315</v>
      </c>
      <c r="E210" s="21">
        <f>AVERAGE(C210:C212)</f>
        <v>1.2209999999999999</v>
      </c>
      <c r="F210" s="21">
        <f>186.29*E210 - 42.536</f>
        <v>184.92408999999995</v>
      </c>
      <c r="G210" s="21">
        <v>200.66388499999996</v>
      </c>
      <c r="H210" s="21">
        <v>132.66976</v>
      </c>
      <c r="I210" s="21">
        <f>AVERAGE(F210:H210)</f>
        <v>172.7525783333333</v>
      </c>
      <c r="J210" s="35">
        <f>I210-97.34</f>
        <v>75.4125783333333</v>
      </c>
    </row>
    <row r="211" spans="3:10" x14ac:dyDescent="0.25">
      <c r="C211" s="42">
        <v>1.0229999999999999</v>
      </c>
      <c r="D211" s="849">
        <v>6032</v>
      </c>
      <c r="E211" s="21"/>
      <c r="F211" s="21"/>
      <c r="G211" s="21"/>
      <c r="H211" s="21"/>
      <c r="I211" s="21"/>
      <c r="J211" s="35"/>
    </row>
    <row r="212" spans="3:10" ht="13.8" thickBot="1" x14ac:dyDescent="0.3">
      <c r="C212" s="830">
        <v>1.7</v>
      </c>
      <c r="D212" s="832"/>
      <c r="E212" s="32"/>
      <c r="F212" s="32"/>
      <c r="G212" s="32"/>
      <c r="H212" s="32"/>
      <c r="I212" s="32"/>
      <c r="J212" s="37"/>
    </row>
    <row r="213" spans="3:10" x14ac:dyDescent="0.25">
      <c r="C213" s="40">
        <v>0.73199999999999998</v>
      </c>
      <c r="D213" s="851" t="s">
        <v>305</v>
      </c>
      <c r="E213" s="25">
        <f>AVERAGE(C213:C215)</f>
        <v>0.76766666666666661</v>
      </c>
      <c r="F213" s="25">
        <f>186.29*E213 - 42.536</f>
        <v>100.4726233333333</v>
      </c>
      <c r="G213" s="25">
        <v>113.39574500000001</v>
      </c>
      <c r="H213" s="25">
        <v>80.317719999999994</v>
      </c>
      <c r="I213" s="25">
        <f>AVERAGE(F213:H213)</f>
        <v>98.062029444444434</v>
      </c>
      <c r="J213" s="52"/>
    </row>
    <row r="214" spans="3:10" x14ac:dyDescent="0.25">
      <c r="C214" s="42">
        <v>0.74299999999999999</v>
      </c>
      <c r="D214" s="852">
        <v>6170</v>
      </c>
      <c r="E214" s="21"/>
      <c r="F214" s="21"/>
      <c r="G214" s="21"/>
      <c r="H214" s="21"/>
      <c r="I214" s="21"/>
      <c r="J214" s="35"/>
    </row>
    <row r="215" spans="3:10" x14ac:dyDescent="0.25">
      <c r="C215" s="42">
        <v>0.82799999999999996</v>
      </c>
      <c r="D215" s="139"/>
      <c r="E215" s="21"/>
      <c r="F215" s="21"/>
      <c r="G215" s="21"/>
      <c r="H215" s="21"/>
      <c r="I215" s="21"/>
      <c r="J215" s="35"/>
    </row>
    <row r="216" spans="3:10" x14ac:dyDescent="0.25">
      <c r="C216" s="42">
        <v>0.67300000000000004</v>
      </c>
      <c r="D216" s="852" t="s">
        <v>305</v>
      </c>
      <c r="E216" s="21">
        <f>AVERAGE(C216:C218)</f>
        <v>0.70000000000000007</v>
      </c>
      <c r="F216" s="21">
        <f>186.29*E216 - 42.536</f>
        <v>87.867000000000019</v>
      </c>
      <c r="G216" s="21">
        <v>120.41292000000001</v>
      </c>
      <c r="H216" s="21">
        <v>66.993889999999993</v>
      </c>
      <c r="I216" s="21">
        <f>AVERAGE(F216:H216)</f>
        <v>91.75793666666668</v>
      </c>
      <c r="J216" s="35"/>
    </row>
    <row r="217" spans="3:10" x14ac:dyDescent="0.25">
      <c r="C217" s="42">
        <v>0.75600000000000001</v>
      </c>
      <c r="D217" s="852">
        <v>6100</v>
      </c>
      <c r="E217" s="21"/>
      <c r="F217" s="21"/>
      <c r="G217" s="21"/>
      <c r="H217" s="21"/>
      <c r="I217" s="21"/>
      <c r="J217" s="35"/>
    </row>
    <row r="218" spans="3:10" x14ac:dyDescent="0.25">
      <c r="C218" s="42">
        <v>0.67100000000000004</v>
      </c>
      <c r="D218" s="139"/>
      <c r="E218" s="21"/>
      <c r="F218" s="21"/>
      <c r="G218" s="21"/>
      <c r="H218" s="21"/>
      <c r="I218" s="21"/>
      <c r="J218" s="35"/>
    </row>
    <row r="219" spans="3:10" x14ac:dyDescent="0.25">
      <c r="C219" s="42">
        <v>0.70899999999999996</v>
      </c>
      <c r="D219" s="852" t="s">
        <v>305</v>
      </c>
      <c r="E219" s="21">
        <f>AVERAGE(C219:C221)</f>
        <v>0.67633333333333334</v>
      </c>
      <c r="F219" s="21">
        <f>186.29*E219 - 42.536</f>
        <v>83.458136666666661</v>
      </c>
      <c r="G219" s="21">
        <v>165.450425</v>
      </c>
      <c r="H219" s="21">
        <v>59.211829999999992</v>
      </c>
      <c r="I219" s="21">
        <f>AVERAGE(F219:H219)</f>
        <v>102.70679722222222</v>
      </c>
      <c r="J219" s="35"/>
    </row>
    <row r="220" spans="3:10" x14ac:dyDescent="0.25">
      <c r="C220" s="42">
        <v>0.66300000000000003</v>
      </c>
      <c r="D220" s="852">
        <v>6002</v>
      </c>
      <c r="E220" s="21"/>
      <c r="F220" s="21"/>
      <c r="G220" s="21"/>
      <c r="H220" s="21"/>
      <c r="I220" s="21"/>
      <c r="J220" s="35"/>
    </row>
    <row r="221" spans="3:10" x14ac:dyDescent="0.25">
      <c r="C221" s="42">
        <v>0.65700000000000003</v>
      </c>
      <c r="D221" s="139"/>
      <c r="E221" s="21"/>
      <c r="F221" s="21"/>
      <c r="G221" s="21"/>
      <c r="H221" s="21"/>
      <c r="I221" s="21"/>
      <c r="J221" s="35"/>
    </row>
    <row r="222" spans="3:10" x14ac:dyDescent="0.25">
      <c r="C222" s="42">
        <v>0.78600000000000003</v>
      </c>
      <c r="D222" s="852" t="s">
        <v>305</v>
      </c>
      <c r="E222" s="21">
        <f>AVERAGE(C222:C224)</f>
        <v>0.80366666666666664</v>
      </c>
      <c r="F222" s="21">
        <f>186.29*E222 - 42.536</f>
        <v>107.17906333333332</v>
      </c>
      <c r="G222" s="21">
        <v>114.16125499999998</v>
      </c>
      <c r="H222" s="21">
        <v>69.11627</v>
      </c>
      <c r="I222" s="21">
        <f>AVERAGE(F222:H222)</f>
        <v>96.818862777777767</v>
      </c>
      <c r="J222" s="35"/>
    </row>
    <row r="223" spans="3:10" x14ac:dyDescent="0.25">
      <c r="C223" s="42">
        <v>0.78</v>
      </c>
      <c r="D223" s="852">
        <v>6250</v>
      </c>
      <c r="E223" s="21"/>
      <c r="F223" s="21"/>
      <c r="G223" s="21"/>
      <c r="H223" s="21"/>
      <c r="I223" s="21"/>
      <c r="J223" s="35"/>
    </row>
    <row r="224" spans="3:10" ht="13.8" thickBot="1" x14ac:dyDescent="0.3">
      <c r="C224" s="42">
        <v>0.84499999999999997</v>
      </c>
      <c r="D224" s="183"/>
      <c r="E224" s="29"/>
      <c r="F224" s="29"/>
      <c r="G224" s="29"/>
      <c r="H224" s="29"/>
      <c r="I224" s="29"/>
      <c r="J224" s="36"/>
    </row>
    <row r="226" spans="1:9" ht="13.8" thickBot="1" x14ac:dyDescent="0.3"/>
    <row r="227" spans="1:9" ht="13.8" thickBot="1" x14ac:dyDescent="0.3">
      <c r="B227" s="795" t="s">
        <v>325</v>
      </c>
    </row>
    <row r="228" spans="1:9" x14ac:dyDescent="0.25">
      <c r="B228" s="857">
        <v>44418</v>
      </c>
    </row>
    <row r="229" spans="1:9" x14ac:dyDescent="0.25">
      <c r="B229" s="8" t="s">
        <v>1</v>
      </c>
    </row>
    <row r="230" spans="1:9" x14ac:dyDescent="0.25">
      <c r="B230" s="8" t="s">
        <v>326</v>
      </c>
      <c r="C230" s="5"/>
      <c r="D230" s="10"/>
    </row>
    <row r="231" spans="1:9" x14ac:dyDescent="0.25">
      <c r="B231" s="8" t="s">
        <v>327</v>
      </c>
      <c r="D231" s="3"/>
    </row>
    <row r="232" spans="1:9" x14ac:dyDescent="0.25">
      <c r="A232" s="8"/>
    </row>
    <row r="233" spans="1:9" ht="13.8" thickBot="1" x14ac:dyDescent="0.3">
      <c r="F233" s="104" t="s">
        <v>6</v>
      </c>
      <c r="G233" s="104" t="s">
        <v>5</v>
      </c>
      <c r="H233" s="408" t="s">
        <v>7</v>
      </c>
      <c r="I233" s="408" t="s">
        <v>204</v>
      </c>
    </row>
    <row r="234" spans="1:9" x14ac:dyDescent="0.25">
      <c r="A234" s="24">
        <v>1.607</v>
      </c>
      <c r="B234" s="853">
        <v>400</v>
      </c>
      <c r="C234" s="24">
        <v>0.65400000000000003</v>
      </c>
      <c r="D234" s="859" t="s">
        <v>11</v>
      </c>
      <c r="E234" s="25">
        <f>AVERAGE(C234:C236)</f>
        <v>0.71550000000000002</v>
      </c>
      <c r="F234" s="25">
        <v>144.87200000000001</v>
      </c>
      <c r="G234" s="25">
        <v>120.990375</v>
      </c>
      <c r="H234" s="25">
        <f>AVERAGE(F234:G234)</f>
        <v>132.93118750000002</v>
      </c>
      <c r="I234" s="52"/>
    </row>
    <row r="235" spans="1:9" x14ac:dyDescent="0.25">
      <c r="A235" s="26">
        <v>1.76</v>
      </c>
      <c r="B235" s="750">
        <v>400</v>
      </c>
      <c r="C235" s="26">
        <v>0.77700000000000002</v>
      </c>
      <c r="D235" s="854">
        <v>5379</v>
      </c>
      <c r="E235" s="21"/>
      <c r="F235" s="21"/>
      <c r="G235" s="21"/>
      <c r="H235" s="21"/>
      <c r="I235" s="35"/>
    </row>
    <row r="236" spans="1:9" x14ac:dyDescent="0.25">
      <c r="A236" s="26"/>
      <c r="B236" s="750">
        <v>400</v>
      </c>
      <c r="C236" s="26"/>
      <c r="D236" s="23"/>
      <c r="E236" s="21"/>
      <c r="F236" s="21"/>
      <c r="G236" s="21"/>
      <c r="H236" s="21"/>
      <c r="I236" s="35"/>
    </row>
    <row r="237" spans="1:9" x14ac:dyDescent="0.25">
      <c r="A237" s="26">
        <v>1.1160000000000001</v>
      </c>
      <c r="B237" s="750">
        <v>200</v>
      </c>
      <c r="C237" s="26">
        <v>0.75700000000000001</v>
      </c>
      <c r="D237" s="858" t="s">
        <v>11</v>
      </c>
      <c r="E237" s="21">
        <f>AVERAGE(C237:C239)</f>
        <v>0.74750000000000005</v>
      </c>
      <c r="F237" s="21">
        <v>171.7303</v>
      </c>
      <c r="G237" s="21">
        <v>144.42794999999998</v>
      </c>
      <c r="H237" s="21">
        <f>AVERAGE(F237:G237)</f>
        <v>158.07912499999998</v>
      </c>
      <c r="I237" s="35"/>
    </row>
    <row r="238" spans="1:9" x14ac:dyDescent="0.25">
      <c r="A238" s="26">
        <v>0.89</v>
      </c>
      <c r="B238" s="750">
        <v>200</v>
      </c>
      <c r="C238" s="26">
        <v>0.73799999999999999</v>
      </c>
      <c r="D238" s="854">
        <v>5892</v>
      </c>
      <c r="E238" s="21"/>
      <c r="F238" s="21"/>
      <c r="G238" s="21"/>
      <c r="H238" s="21"/>
      <c r="I238" s="35"/>
    </row>
    <row r="239" spans="1:9" x14ac:dyDescent="0.25">
      <c r="A239" s="26">
        <v>1.0029999999999999</v>
      </c>
      <c r="B239" s="750">
        <v>200</v>
      </c>
      <c r="C239" s="26"/>
      <c r="D239" s="23"/>
      <c r="E239" s="21"/>
      <c r="F239" s="21"/>
      <c r="G239" s="21"/>
      <c r="H239" s="21"/>
      <c r="I239" s="35"/>
    </row>
    <row r="240" spans="1:9" x14ac:dyDescent="0.25">
      <c r="A240" s="26">
        <v>0.68</v>
      </c>
      <c r="B240" s="750">
        <v>100</v>
      </c>
      <c r="C240" s="26">
        <v>0.67600000000000005</v>
      </c>
      <c r="D240" s="858" t="s">
        <v>11</v>
      </c>
      <c r="E240" s="21">
        <f>AVERAGE(C240:C242)</f>
        <v>0.60550000000000004</v>
      </c>
      <c r="F240" s="21">
        <v>135.29547500000001</v>
      </c>
      <c r="G240" s="21">
        <v>162.54395</v>
      </c>
      <c r="H240" s="21">
        <f>AVERAGE(F240:G240)</f>
        <v>148.9197125</v>
      </c>
      <c r="I240" s="35"/>
    </row>
    <row r="241" spans="1:9" x14ac:dyDescent="0.25">
      <c r="A241" s="26">
        <v>0.59399999999999997</v>
      </c>
      <c r="B241" s="750">
        <v>100</v>
      </c>
      <c r="C241" s="26">
        <v>0.53500000000000003</v>
      </c>
      <c r="D241" s="854">
        <v>5839</v>
      </c>
      <c r="E241" s="21"/>
      <c r="F241" s="21"/>
      <c r="G241" s="21"/>
      <c r="H241" s="21"/>
      <c r="I241" s="35"/>
    </row>
    <row r="242" spans="1:9" x14ac:dyDescent="0.25">
      <c r="A242" s="26">
        <v>0.65500000000000003</v>
      </c>
      <c r="B242" s="750">
        <v>100</v>
      </c>
      <c r="C242" s="26"/>
      <c r="D242" s="23"/>
      <c r="E242" s="21"/>
      <c r="F242" s="21"/>
      <c r="G242" s="21"/>
      <c r="H242" s="21"/>
      <c r="I242" s="35"/>
    </row>
    <row r="243" spans="1:9" x14ac:dyDescent="0.25">
      <c r="A243" s="26">
        <v>0.40899999999999997</v>
      </c>
      <c r="B243" s="750">
        <v>50</v>
      </c>
      <c r="C243" s="26">
        <v>0.73899999999999999</v>
      </c>
      <c r="D243" s="858" t="s">
        <v>11</v>
      </c>
      <c r="E243" s="21">
        <f>AVERAGE(C243:C245)</f>
        <v>0.67900000000000005</v>
      </c>
      <c r="F243" s="57">
        <v>120.325275</v>
      </c>
      <c r="G243" s="21">
        <v>150.995</v>
      </c>
      <c r="H243" s="21">
        <f>AVERAGE(F243:G243)</f>
        <v>135.66013750000002</v>
      </c>
      <c r="I243" s="35"/>
    </row>
    <row r="244" spans="1:9" x14ac:dyDescent="0.25">
      <c r="A244" s="26">
        <v>0.34899999999999998</v>
      </c>
      <c r="B244" s="750">
        <v>50</v>
      </c>
      <c r="C244" s="26">
        <v>0.61899999999999999</v>
      </c>
      <c r="D244" s="854">
        <v>5620</v>
      </c>
      <c r="E244" s="21"/>
      <c r="F244" s="57"/>
      <c r="G244" s="21"/>
      <c r="H244" s="21"/>
      <c r="I244" s="35"/>
    </row>
    <row r="245" spans="1:9" x14ac:dyDescent="0.25">
      <c r="A245" s="26">
        <v>0.32200000000000001</v>
      </c>
      <c r="B245" s="750">
        <v>50</v>
      </c>
      <c r="C245" s="26"/>
      <c r="D245" s="23"/>
      <c r="E245" s="21"/>
      <c r="F245" s="57"/>
      <c r="G245" s="21"/>
      <c r="H245" s="21"/>
      <c r="I245" s="35"/>
    </row>
    <row r="246" spans="1:9" x14ac:dyDescent="0.25">
      <c r="A246" s="26">
        <v>0.249</v>
      </c>
      <c r="B246" s="750">
        <v>25</v>
      </c>
      <c r="C246" s="26">
        <v>0.79200000000000004</v>
      </c>
      <c r="D246" s="858" t="s">
        <v>11</v>
      </c>
      <c r="E246" s="21">
        <f>AVERAGE(C246:C248)</f>
        <v>0.77350000000000008</v>
      </c>
      <c r="F246" s="57">
        <v>139.038025</v>
      </c>
      <c r="G246" s="21">
        <v>170.01679999999999</v>
      </c>
      <c r="H246" s="21">
        <f>AVERAGE(F246:G246)</f>
        <v>154.5274125</v>
      </c>
      <c r="I246" s="35"/>
    </row>
    <row r="247" spans="1:9" x14ac:dyDescent="0.25">
      <c r="A247" s="26">
        <v>0.27</v>
      </c>
      <c r="B247" s="750">
        <v>25</v>
      </c>
      <c r="C247" s="26">
        <v>0.755</v>
      </c>
      <c r="D247" s="854">
        <v>5883</v>
      </c>
      <c r="E247" s="21"/>
      <c r="F247" s="57"/>
      <c r="G247" s="21"/>
      <c r="H247" s="21"/>
      <c r="I247" s="35"/>
    </row>
    <row r="248" spans="1:9" x14ac:dyDescent="0.25">
      <c r="A248" s="26"/>
      <c r="B248" s="750">
        <v>25</v>
      </c>
      <c r="C248" s="26"/>
      <c r="D248" s="23"/>
      <c r="E248" s="21"/>
      <c r="F248" s="57"/>
      <c r="G248" s="21"/>
      <c r="H248" s="21"/>
      <c r="I248" s="35"/>
    </row>
    <row r="249" spans="1:9" x14ac:dyDescent="0.25">
      <c r="A249" s="26">
        <v>0.2</v>
      </c>
      <c r="B249" s="750">
        <v>12.5</v>
      </c>
      <c r="C249" s="26">
        <v>0.85699999999999998</v>
      </c>
      <c r="D249" s="858" t="s">
        <v>11</v>
      </c>
      <c r="E249" s="21">
        <f>AVERAGE(C249:C251)</f>
        <v>0.74299999999999999</v>
      </c>
      <c r="F249" s="57">
        <v>178.99525</v>
      </c>
      <c r="G249" s="21">
        <v>148.95694999999998</v>
      </c>
      <c r="H249" s="21">
        <f>AVERAGE(F249:G249)</f>
        <v>163.97609999999997</v>
      </c>
      <c r="I249" s="35"/>
    </row>
    <row r="250" spans="1:9" x14ac:dyDescent="0.25">
      <c r="A250" s="26">
        <v>0.23</v>
      </c>
      <c r="B250" s="750">
        <v>12.5</v>
      </c>
      <c r="C250" s="26">
        <v>0.629</v>
      </c>
      <c r="D250" s="854">
        <v>5570</v>
      </c>
      <c r="E250" s="21"/>
      <c r="F250" s="21"/>
      <c r="G250" s="21"/>
      <c r="H250" s="21"/>
      <c r="I250" s="35"/>
    </row>
    <row r="251" spans="1:9" x14ac:dyDescent="0.25">
      <c r="A251" s="26"/>
      <c r="B251" s="750">
        <v>12.5</v>
      </c>
      <c r="C251" s="26"/>
      <c r="D251" s="23"/>
      <c r="E251" s="21"/>
      <c r="F251" s="21"/>
      <c r="G251" s="21"/>
      <c r="H251" s="21"/>
      <c r="I251" s="35"/>
    </row>
    <row r="252" spans="1:9" x14ac:dyDescent="0.25">
      <c r="A252" s="26"/>
      <c r="B252" s="750">
        <v>0</v>
      </c>
      <c r="C252" s="26">
        <v>0.58899999999999997</v>
      </c>
      <c r="D252" s="858" t="s">
        <v>11</v>
      </c>
      <c r="E252" s="21">
        <f>AVERAGE(C252:C254)</f>
        <v>0.58699999999999997</v>
      </c>
      <c r="F252" s="21">
        <v>167.10714999999999</v>
      </c>
      <c r="G252" s="21">
        <v>123.59454999999997</v>
      </c>
      <c r="H252" s="21">
        <f>AVERAGE(F252:G252)</f>
        <v>145.35084999999998</v>
      </c>
      <c r="I252" s="35"/>
    </row>
    <row r="253" spans="1:9" x14ac:dyDescent="0.25">
      <c r="A253" s="26">
        <v>0.123</v>
      </c>
      <c r="B253" s="750">
        <v>0</v>
      </c>
      <c r="C253" s="26">
        <v>0.58499999999999996</v>
      </c>
      <c r="D253" s="854">
        <v>5569</v>
      </c>
      <c r="E253" s="21"/>
      <c r="F253" s="21"/>
      <c r="G253" s="21"/>
      <c r="H253" s="21"/>
      <c r="I253" s="35"/>
    </row>
    <row r="254" spans="1:9" ht="13.8" thickBot="1" x14ac:dyDescent="0.3">
      <c r="A254" s="27">
        <v>0.13400000000000001</v>
      </c>
      <c r="B254" s="684">
        <v>0</v>
      </c>
      <c r="C254" s="26"/>
      <c r="D254" s="23"/>
      <c r="E254" s="21"/>
      <c r="F254" s="21"/>
      <c r="G254" s="21"/>
      <c r="H254" s="21"/>
      <c r="I254" s="35"/>
    </row>
    <row r="255" spans="1:9" x14ac:dyDescent="0.25">
      <c r="C255" s="26">
        <v>0.749</v>
      </c>
      <c r="D255" s="858" t="s">
        <v>11</v>
      </c>
      <c r="E255" s="21">
        <f>AVERAGE(C255:C257)</f>
        <v>0.74350000000000005</v>
      </c>
      <c r="F255" s="21">
        <v>185.26952499999999</v>
      </c>
      <c r="G255" s="21">
        <v>131.06739999999999</v>
      </c>
      <c r="H255" s="21">
        <f>AVERAGE(F255:G255)</f>
        <v>158.16846249999998</v>
      </c>
      <c r="I255" s="35"/>
    </row>
    <row r="256" spans="1:9" x14ac:dyDescent="0.25">
      <c r="C256" s="26">
        <v>0.73799999999999999</v>
      </c>
      <c r="D256" s="854">
        <v>5421</v>
      </c>
      <c r="E256" s="21"/>
      <c r="F256" s="21"/>
      <c r="G256" s="21"/>
      <c r="H256" s="21"/>
      <c r="I256" s="35"/>
    </row>
    <row r="257" spans="3:9" x14ac:dyDescent="0.25">
      <c r="C257" s="26"/>
      <c r="D257" s="23"/>
      <c r="E257" s="21"/>
      <c r="F257" s="21"/>
      <c r="G257" s="21"/>
      <c r="H257" s="21"/>
      <c r="I257" s="35"/>
    </row>
    <row r="258" spans="3:9" x14ac:dyDescent="0.25">
      <c r="C258" s="26">
        <v>0.57999999999999996</v>
      </c>
      <c r="D258" s="858" t="s">
        <v>11</v>
      </c>
      <c r="E258" s="21">
        <f>AVERAGE(C258:C260)</f>
        <v>0.59250000000000003</v>
      </c>
      <c r="F258" s="21">
        <v>150.5959</v>
      </c>
      <c r="G258" s="21">
        <v>112.83817500000001</v>
      </c>
      <c r="H258" s="21">
        <f>AVERAGE(F258:G258)</f>
        <v>131.7170375</v>
      </c>
      <c r="I258" s="35"/>
    </row>
    <row r="259" spans="3:9" x14ac:dyDescent="0.25">
      <c r="C259" s="26">
        <v>0.60499999999999998</v>
      </c>
      <c r="D259" s="854">
        <v>5419</v>
      </c>
      <c r="E259" s="21"/>
      <c r="F259" s="21"/>
      <c r="G259" s="21"/>
      <c r="H259" s="21"/>
      <c r="I259" s="35"/>
    </row>
    <row r="260" spans="3:9" x14ac:dyDescent="0.25">
      <c r="C260" s="26"/>
      <c r="D260" s="23"/>
      <c r="E260" s="21"/>
      <c r="F260" s="21"/>
      <c r="G260" s="21"/>
      <c r="H260" s="21"/>
      <c r="I260" s="35"/>
    </row>
    <row r="261" spans="3:9" x14ac:dyDescent="0.25">
      <c r="C261" s="26">
        <v>0.71799999999999997</v>
      </c>
      <c r="D261" s="858" t="s">
        <v>11</v>
      </c>
      <c r="E261" s="21">
        <f>AVERAGE(C261:C263)</f>
        <v>0.749</v>
      </c>
      <c r="F261" s="21">
        <v>125.38872500000002</v>
      </c>
      <c r="G261" s="21">
        <v>118.272975</v>
      </c>
      <c r="H261" s="21">
        <f>AVERAGE(F261:G261)</f>
        <v>121.83085000000001</v>
      </c>
      <c r="I261" s="35"/>
    </row>
    <row r="262" spans="3:9" x14ac:dyDescent="0.25">
      <c r="C262" s="26">
        <v>0.78</v>
      </c>
      <c r="D262" s="854">
        <v>5418</v>
      </c>
      <c r="E262" s="21"/>
      <c r="F262" s="21"/>
      <c r="G262" s="21"/>
      <c r="H262" s="21"/>
      <c r="I262" s="35"/>
    </row>
    <row r="263" spans="3:9" x14ac:dyDescent="0.25">
      <c r="C263" s="26"/>
      <c r="D263" s="23"/>
      <c r="E263" s="21"/>
      <c r="F263" s="21"/>
      <c r="G263" s="21"/>
      <c r="H263" s="21"/>
      <c r="I263" s="35"/>
    </row>
    <row r="264" spans="3:9" x14ac:dyDescent="0.25">
      <c r="C264" s="26">
        <v>0.53100000000000003</v>
      </c>
      <c r="D264" s="858" t="s">
        <v>11</v>
      </c>
      <c r="E264" s="21">
        <f>AVERAGE(C264:C266)</f>
        <v>0.54899999999999993</v>
      </c>
      <c r="F264" s="21">
        <v>123.07715000000002</v>
      </c>
      <c r="G264" s="21">
        <v>75.58714999999998</v>
      </c>
      <c r="H264" s="21">
        <f>AVERAGE(F264:G264)</f>
        <v>99.332149999999999</v>
      </c>
      <c r="I264" s="35"/>
    </row>
    <row r="265" spans="3:9" x14ac:dyDescent="0.25">
      <c r="C265" s="26">
        <v>0.56699999999999995</v>
      </c>
      <c r="D265" s="854">
        <v>5884</v>
      </c>
      <c r="E265" s="21"/>
      <c r="F265" s="21"/>
      <c r="G265" s="21"/>
      <c r="H265" s="21"/>
      <c r="I265" s="35"/>
    </row>
    <row r="266" spans="3:9" ht="13.8" thickBot="1" x14ac:dyDescent="0.3">
      <c r="C266" s="30"/>
      <c r="D266" s="31"/>
      <c r="E266" s="32"/>
      <c r="F266" s="32"/>
      <c r="G266" s="32"/>
      <c r="H266" s="32"/>
      <c r="I266" s="37"/>
    </row>
    <row r="267" spans="3:9" x14ac:dyDescent="0.25">
      <c r="C267" s="24">
        <v>0.70699999999999996</v>
      </c>
      <c r="D267" s="860" t="s">
        <v>328</v>
      </c>
      <c r="E267" s="25"/>
      <c r="F267" s="25"/>
      <c r="G267" s="25"/>
      <c r="H267" s="25"/>
      <c r="I267" s="52"/>
    </row>
    <row r="268" spans="3:9" x14ac:dyDescent="0.25">
      <c r="C268" s="26">
        <v>0.76600000000000001</v>
      </c>
      <c r="D268" s="861">
        <v>5779</v>
      </c>
      <c r="E268" s="21">
        <f>AVERAGE(C267:C269)</f>
        <v>0.73649999999999993</v>
      </c>
      <c r="F268" s="21">
        <v>169.08850000000001</v>
      </c>
      <c r="G268" s="21">
        <v>155.524</v>
      </c>
      <c r="H268" s="21">
        <f>AVERAGE(F268:G268)</f>
        <v>162.30625000000001</v>
      </c>
      <c r="I268" s="35">
        <f>H268-105.44</f>
        <v>56.866250000000008</v>
      </c>
    </row>
    <row r="269" spans="3:9" ht="13.8" thickBot="1" x14ac:dyDescent="0.3">
      <c r="C269" s="26"/>
      <c r="D269" s="23"/>
      <c r="E269" s="21"/>
      <c r="F269" s="21"/>
      <c r="G269" s="21"/>
      <c r="H269" s="21"/>
      <c r="I269" s="35"/>
    </row>
    <row r="270" spans="3:9" x14ac:dyDescent="0.25">
      <c r="C270" s="26">
        <v>0.752</v>
      </c>
      <c r="D270" s="860" t="s">
        <v>328</v>
      </c>
      <c r="E270" s="21">
        <f>AVERAGE(C270:C272)</f>
        <v>0.72849999999999993</v>
      </c>
      <c r="F270" s="21">
        <v>140.358925</v>
      </c>
      <c r="G270" s="21">
        <v>130.27482499999999</v>
      </c>
      <c r="H270" s="21">
        <f>AVERAGE(F270:G270)</f>
        <v>135.31687499999998</v>
      </c>
      <c r="I270" s="35">
        <f>H270-105.44</f>
        <v>29.876874999999984</v>
      </c>
    </row>
    <row r="271" spans="3:9" x14ac:dyDescent="0.25">
      <c r="C271" s="26">
        <v>0.70499999999999996</v>
      </c>
      <c r="D271" s="861">
        <v>5912</v>
      </c>
      <c r="E271" s="21"/>
      <c r="F271" s="21"/>
      <c r="G271" s="21"/>
      <c r="H271" s="21"/>
      <c r="I271" s="35"/>
    </row>
    <row r="272" spans="3:9" ht="13.8" thickBot="1" x14ac:dyDescent="0.3">
      <c r="C272" s="26"/>
      <c r="D272" s="23"/>
      <c r="E272" s="21"/>
      <c r="F272" s="21"/>
      <c r="G272" s="21"/>
      <c r="H272" s="21"/>
      <c r="I272" s="35"/>
    </row>
    <row r="273" spans="2:9" x14ac:dyDescent="0.25">
      <c r="C273" s="26">
        <v>0.83299999999999996</v>
      </c>
      <c r="D273" s="860" t="s">
        <v>328</v>
      </c>
      <c r="E273" s="21">
        <f>AVERAGE(C273:C275)</f>
        <v>0.80649999999999999</v>
      </c>
      <c r="F273" s="21">
        <v>158.5213</v>
      </c>
      <c r="G273" s="21">
        <v>159.60009999999997</v>
      </c>
      <c r="H273" s="21">
        <f>AVERAGE(F273:G273)</f>
        <v>159.0607</v>
      </c>
      <c r="I273" s="35">
        <f>H273-105.44</f>
        <v>53.620699999999999</v>
      </c>
    </row>
    <row r="274" spans="2:9" x14ac:dyDescent="0.25">
      <c r="C274" s="26">
        <v>0.78</v>
      </c>
      <c r="D274" s="861">
        <v>5909</v>
      </c>
      <c r="E274" s="21"/>
      <c r="F274" s="21"/>
      <c r="G274" s="21"/>
      <c r="H274" s="21"/>
      <c r="I274" s="35"/>
    </row>
    <row r="275" spans="2:9" ht="13.8" thickBot="1" x14ac:dyDescent="0.3">
      <c r="C275" s="26"/>
      <c r="D275" s="23"/>
      <c r="E275" s="21"/>
      <c r="F275" s="21"/>
      <c r="G275" s="21"/>
      <c r="H275" s="21"/>
      <c r="I275" s="35"/>
    </row>
    <row r="276" spans="2:9" x14ac:dyDescent="0.25">
      <c r="C276" s="26">
        <v>0.499</v>
      </c>
      <c r="D276" s="860" t="s">
        <v>328</v>
      </c>
      <c r="E276" s="21">
        <f>AVERAGE(C276:C278)</f>
        <v>0.4975</v>
      </c>
      <c r="F276" s="21">
        <v>80.478125000000006</v>
      </c>
      <c r="G276" s="21">
        <v>102.08179999999999</v>
      </c>
      <c r="H276" s="21">
        <f>AVERAGE(F276:G276)</f>
        <v>91.279962499999996</v>
      </c>
      <c r="I276" s="35">
        <f>H276-105.44</f>
        <v>-14.160037500000001</v>
      </c>
    </row>
    <row r="277" spans="2:9" x14ac:dyDescent="0.25">
      <c r="C277" s="26">
        <v>0.496</v>
      </c>
      <c r="D277" s="861">
        <v>5910</v>
      </c>
      <c r="E277" s="21"/>
      <c r="F277" s="21"/>
      <c r="G277" s="21"/>
      <c r="H277" s="21"/>
      <c r="I277" s="35"/>
    </row>
    <row r="278" spans="2:9" ht="13.8" thickBot="1" x14ac:dyDescent="0.3">
      <c r="C278" s="26"/>
      <c r="D278" s="23"/>
      <c r="E278" s="21"/>
      <c r="F278" s="21"/>
      <c r="G278" s="21"/>
      <c r="H278" s="21"/>
      <c r="I278" s="35"/>
    </row>
    <row r="279" spans="2:9" x14ac:dyDescent="0.25">
      <c r="C279" s="26">
        <v>0.58499999999999996</v>
      </c>
      <c r="D279" s="860" t="s">
        <v>328</v>
      </c>
      <c r="E279" s="21">
        <f>AVERAGE(C279:C281)</f>
        <v>0.60149999999999992</v>
      </c>
      <c r="F279" s="21">
        <v>137.38690000000003</v>
      </c>
      <c r="G279" s="21">
        <v>135.70962499999999</v>
      </c>
      <c r="H279" s="21">
        <f>AVERAGE(F279:G279)</f>
        <v>136.54826250000002</v>
      </c>
      <c r="I279" s="35">
        <f>H279-105.44</f>
        <v>31.108262500000023</v>
      </c>
    </row>
    <row r="280" spans="2:9" x14ac:dyDescent="0.25">
      <c r="B280" t="s">
        <v>0</v>
      </c>
      <c r="C280" s="26">
        <v>0.61799999999999999</v>
      </c>
      <c r="D280" s="861">
        <v>5913</v>
      </c>
      <c r="E280" s="21"/>
      <c r="F280" s="21"/>
      <c r="G280" s="21"/>
      <c r="H280" s="21"/>
      <c r="I280" s="35"/>
    </row>
    <row r="281" spans="2:9" ht="13.8" thickBot="1" x14ac:dyDescent="0.3">
      <c r="C281" s="26"/>
      <c r="D281" s="23"/>
      <c r="E281" s="21"/>
      <c r="F281" s="21"/>
      <c r="G281" s="21"/>
      <c r="H281" s="21"/>
      <c r="I281" s="35"/>
    </row>
    <row r="282" spans="2:9" x14ac:dyDescent="0.25">
      <c r="C282" s="26">
        <v>0.68</v>
      </c>
      <c r="D282" s="860" t="s">
        <v>328</v>
      </c>
      <c r="E282" s="21">
        <f>AVERAGE(C282:C284)</f>
        <v>0.69550000000000001</v>
      </c>
      <c r="F282" s="21">
        <v>147.29365000000001</v>
      </c>
      <c r="G282" s="21">
        <v>154.27852499999997</v>
      </c>
      <c r="H282" s="21">
        <f>AVERAGE(F282:G282)</f>
        <v>150.78608750000001</v>
      </c>
      <c r="I282" s="35">
        <f>H282-105.44</f>
        <v>45.34608750000001</v>
      </c>
    </row>
    <row r="283" spans="2:9" x14ac:dyDescent="0.25">
      <c r="C283" s="26">
        <v>0.71099999999999997</v>
      </c>
      <c r="D283" s="861">
        <v>5911</v>
      </c>
      <c r="E283" s="21"/>
      <c r="F283" s="21"/>
      <c r="G283" s="21"/>
      <c r="H283" s="21"/>
      <c r="I283" s="35"/>
    </row>
    <row r="284" spans="2:9" ht="13.8" thickBot="1" x14ac:dyDescent="0.3">
      <c r="C284" s="26"/>
      <c r="D284" s="23"/>
      <c r="E284" s="21"/>
      <c r="F284" s="21"/>
      <c r="G284" s="21"/>
      <c r="H284" s="21"/>
      <c r="I284" s="35"/>
    </row>
    <row r="285" spans="2:9" x14ac:dyDescent="0.25">
      <c r="C285" s="26">
        <v>0.59799999999999998</v>
      </c>
      <c r="D285" s="860" t="s">
        <v>328</v>
      </c>
      <c r="E285" s="21"/>
      <c r="F285" s="21"/>
      <c r="G285" s="21"/>
      <c r="H285" s="21"/>
      <c r="I285" s="35"/>
    </row>
    <row r="286" spans="2:9" x14ac:dyDescent="0.25">
      <c r="C286" s="26">
        <v>0.53600000000000003</v>
      </c>
      <c r="D286" s="861">
        <v>5853</v>
      </c>
      <c r="E286" s="21">
        <f>AVERAGE(C285:C287)</f>
        <v>0.56699999999999995</v>
      </c>
      <c r="F286" s="21">
        <v>111.299125</v>
      </c>
      <c r="G286" s="21">
        <v>140.46507499999998</v>
      </c>
      <c r="H286" s="21">
        <f>AVERAGE(F286:G286)</f>
        <v>125.88209999999999</v>
      </c>
      <c r="I286" s="35">
        <f>H286-105.44</f>
        <v>20.442099999999996</v>
      </c>
    </row>
    <row r="287" spans="2:9" ht="13.8" thickBot="1" x14ac:dyDescent="0.3">
      <c r="C287" s="26"/>
      <c r="D287" s="23"/>
      <c r="E287" s="21"/>
      <c r="F287" s="21"/>
      <c r="G287" s="21"/>
      <c r="H287" s="21"/>
      <c r="I287" s="35"/>
    </row>
    <row r="288" spans="2:9" x14ac:dyDescent="0.25">
      <c r="C288" s="26">
        <v>0.60099999999999998</v>
      </c>
      <c r="D288" s="860" t="s">
        <v>328</v>
      </c>
      <c r="E288" s="21">
        <f>AVERAGE(C288:C290)</f>
        <v>0.61599999999999999</v>
      </c>
      <c r="F288" s="21">
        <v>134.855175</v>
      </c>
      <c r="G288" s="21">
        <v>122.57552499999997</v>
      </c>
      <c r="H288" s="21">
        <f>AVERAGE(F288:G288)</f>
        <v>128.71535</v>
      </c>
      <c r="I288" s="35">
        <f>H288-105.44</f>
        <v>23.275350000000003</v>
      </c>
    </row>
    <row r="289" spans="3:9" x14ac:dyDescent="0.25">
      <c r="C289" s="26">
        <v>0.63100000000000001</v>
      </c>
      <c r="D289" s="861">
        <v>5852</v>
      </c>
      <c r="E289" s="21"/>
      <c r="F289" s="21"/>
      <c r="G289" s="21"/>
      <c r="H289" s="21"/>
      <c r="I289" s="35"/>
    </row>
    <row r="290" spans="3:9" ht="13.8" thickBot="1" x14ac:dyDescent="0.3">
      <c r="C290" s="30"/>
      <c r="D290" s="31"/>
      <c r="E290" s="32"/>
      <c r="F290" s="32"/>
      <c r="G290" s="32"/>
      <c r="H290" s="32"/>
      <c r="I290" s="37"/>
    </row>
    <row r="291" spans="3:9" x14ac:dyDescent="0.25">
      <c r="C291" s="24">
        <v>0.54600000000000004</v>
      </c>
      <c r="D291" s="862" t="s">
        <v>329</v>
      </c>
      <c r="E291" s="25">
        <f>AVERAGE(C291:C293)</f>
        <v>0.57950000000000002</v>
      </c>
      <c r="F291" s="25">
        <v>97.209525000000014</v>
      </c>
      <c r="G291" s="25">
        <v>109.89432499999998</v>
      </c>
      <c r="H291" s="25">
        <f>AVERAGE(F291:G291)</f>
        <v>103.551925</v>
      </c>
      <c r="I291" s="52"/>
    </row>
    <row r="292" spans="3:9" x14ac:dyDescent="0.25">
      <c r="C292" s="26">
        <v>0.61299999999999999</v>
      </c>
      <c r="D292" s="855">
        <v>5825</v>
      </c>
      <c r="E292" s="21"/>
      <c r="F292" s="21"/>
      <c r="G292" s="21"/>
      <c r="H292" s="21"/>
      <c r="I292" s="35"/>
    </row>
    <row r="293" spans="3:9" x14ac:dyDescent="0.25">
      <c r="C293" s="26"/>
      <c r="D293" s="23"/>
      <c r="E293" s="21"/>
      <c r="F293" s="21"/>
      <c r="G293" s="21"/>
      <c r="H293" s="21"/>
      <c r="I293" s="35"/>
    </row>
    <row r="294" spans="3:9" x14ac:dyDescent="0.25">
      <c r="C294" s="26">
        <v>0.86099999999999999</v>
      </c>
      <c r="D294" s="856" t="s">
        <v>329</v>
      </c>
      <c r="E294" s="21">
        <f>AVERAGE(C294:C296)</f>
        <v>0.84450000000000003</v>
      </c>
      <c r="F294" s="21">
        <v>102.16290000000001</v>
      </c>
      <c r="G294" s="21">
        <v>114.64977500000001</v>
      </c>
      <c r="H294" s="21">
        <f>AVERAGE(F294:G294)</f>
        <v>108.40633750000001</v>
      </c>
      <c r="I294" s="35"/>
    </row>
    <row r="295" spans="3:9" x14ac:dyDescent="0.25">
      <c r="C295" s="26">
        <v>0.82799999999999996</v>
      </c>
      <c r="D295" s="855">
        <v>5823</v>
      </c>
      <c r="E295" s="21"/>
      <c r="F295" s="21"/>
      <c r="G295" s="21"/>
      <c r="H295" s="21"/>
      <c r="I295" s="35"/>
    </row>
    <row r="296" spans="3:9" x14ac:dyDescent="0.25">
      <c r="C296" s="26"/>
      <c r="D296" s="23"/>
      <c r="E296" s="21"/>
      <c r="F296" s="21"/>
      <c r="G296" s="21"/>
      <c r="H296" s="21"/>
      <c r="I296" s="35"/>
    </row>
    <row r="297" spans="3:9" x14ac:dyDescent="0.25">
      <c r="C297" s="26">
        <v>0.53900000000000003</v>
      </c>
      <c r="D297" s="856" t="s">
        <v>329</v>
      </c>
      <c r="E297" s="21">
        <f>AVERAGE(C297:C299)</f>
        <v>0.57950000000000002</v>
      </c>
      <c r="F297" s="21">
        <v>107.88679999999999</v>
      </c>
      <c r="G297" s="21">
        <v>111.59269999999998</v>
      </c>
      <c r="H297" s="21">
        <f>AVERAGE(F297:G297)</f>
        <v>109.73974999999999</v>
      </c>
      <c r="I297" s="35"/>
    </row>
    <row r="298" spans="3:9" x14ac:dyDescent="0.25">
      <c r="C298" s="26">
        <v>0.62</v>
      </c>
      <c r="D298" s="855">
        <v>5824</v>
      </c>
      <c r="E298" s="21"/>
      <c r="F298" s="21"/>
      <c r="G298" s="21"/>
      <c r="H298" s="21"/>
      <c r="I298" s="35"/>
    </row>
    <row r="299" spans="3:9" x14ac:dyDescent="0.25">
      <c r="C299" s="26"/>
      <c r="D299" s="23"/>
      <c r="E299" s="21"/>
      <c r="F299" s="21"/>
      <c r="G299" s="21"/>
      <c r="H299" s="21"/>
      <c r="I299" s="35"/>
    </row>
    <row r="300" spans="3:9" x14ac:dyDescent="0.25">
      <c r="C300" s="26">
        <v>0.47799999999999998</v>
      </c>
      <c r="D300" s="856" t="s">
        <v>329</v>
      </c>
      <c r="E300" s="21">
        <f>AVERAGE(C300:C302)</f>
        <v>0.47949999999999998</v>
      </c>
      <c r="F300" s="21">
        <v>101.83267500000002</v>
      </c>
      <c r="G300" s="21">
        <v>108.64884999999998</v>
      </c>
      <c r="H300" s="21">
        <f>AVERAGE(F300:G300)</f>
        <v>105.2407625</v>
      </c>
      <c r="I300" s="35"/>
    </row>
    <row r="301" spans="3:9" x14ac:dyDescent="0.25">
      <c r="C301" s="26">
        <v>0.48099999999999998</v>
      </c>
      <c r="D301" s="855">
        <v>5784</v>
      </c>
      <c r="E301" s="21"/>
      <c r="F301" s="21"/>
      <c r="G301" s="21"/>
      <c r="H301" s="21"/>
      <c r="I301" s="35"/>
    </row>
    <row r="302" spans="3:9" x14ac:dyDescent="0.25">
      <c r="C302" s="26"/>
      <c r="D302" s="23"/>
      <c r="E302" s="21"/>
      <c r="F302" s="21"/>
      <c r="G302" s="21"/>
      <c r="H302" s="21"/>
      <c r="I302" s="35"/>
    </row>
    <row r="303" spans="3:9" x14ac:dyDescent="0.25">
      <c r="C303" s="26">
        <v>0.57499999999999996</v>
      </c>
      <c r="D303" s="856" t="s">
        <v>329</v>
      </c>
      <c r="E303" s="21">
        <f>AVERAGE(C303:C305)</f>
        <v>0.60899999999999999</v>
      </c>
      <c r="F303" s="21">
        <v>118.67415</v>
      </c>
      <c r="G303" s="21">
        <v>142.05022500000001</v>
      </c>
      <c r="H303" s="21">
        <f>AVERAGE(F303:G303)</f>
        <v>130.3621875</v>
      </c>
      <c r="I303" s="35"/>
    </row>
    <row r="304" spans="3:9" x14ac:dyDescent="0.25">
      <c r="C304" s="26">
        <v>0.64300000000000002</v>
      </c>
      <c r="D304" s="855">
        <v>5778</v>
      </c>
      <c r="E304" s="21"/>
      <c r="F304" s="21"/>
      <c r="G304" s="21"/>
      <c r="H304" s="21"/>
      <c r="I304" s="35"/>
    </row>
    <row r="305" spans="3:9" x14ac:dyDescent="0.25">
      <c r="C305" s="26"/>
      <c r="D305" s="23"/>
      <c r="E305" s="21"/>
      <c r="F305" s="21"/>
      <c r="G305" s="21"/>
      <c r="H305" s="21"/>
      <c r="I305" s="35"/>
    </row>
    <row r="306" spans="3:9" x14ac:dyDescent="0.25">
      <c r="C306" s="26">
        <v>0.57399999999999995</v>
      </c>
      <c r="D306" s="856" t="s">
        <v>329</v>
      </c>
      <c r="E306" s="21">
        <f>AVERAGE(C306:C308)</f>
        <v>0.65649999999999997</v>
      </c>
      <c r="F306" s="21">
        <v>100.40170000000001</v>
      </c>
      <c r="G306" s="21">
        <v>87.47577499999997</v>
      </c>
      <c r="H306" s="21">
        <f>AVERAGE(F306:G306)</f>
        <v>93.938737499999988</v>
      </c>
      <c r="I306" s="35"/>
    </row>
    <row r="307" spans="3:9" x14ac:dyDescent="0.25">
      <c r="C307" s="26">
        <v>0.73899999999999999</v>
      </c>
      <c r="D307" s="855">
        <v>5854</v>
      </c>
      <c r="E307" s="21"/>
      <c r="F307" s="21"/>
      <c r="G307" s="21"/>
      <c r="H307" s="21"/>
      <c r="I307" s="35"/>
    </row>
    <row r="308" spans="3:9" x14ac:dyDescent="0.25">
      <c r="C308" s="26"/>
      <c r="D308" s="23"/>
      <c r="E308" s="21"/>
      <c r="F308" s="21"/>
      <c r="G308" s="21"/>
      <c r="H308" s="21"/>
      <c r="I308" s="35"/>
    </row>
    <row r="309" spans="3:9" x14ac:dyDescent="0.25">
      <c r="C309" s="26">
        <v>0.63300000000000001</v>
      </c>
      <c r="D309" s="856" t="s">
        <v>329</v>
      </c>
      <c r="E309" s="21">
        <f>AVERAGE(C309:C311)</f>
        <v>0.61250000000000004</v>
      </c>
      <c r="F309" s="21">
        <v>72.662800000000004</v>
      </c>
      <c r="G309" s="21">
        <v>100.94954999999999</v>
      </c>
      <c r="H309" s="21">
        <f>AVERAGE(F309:G309)</f>
        <v>86.806174999999996</v>
      </c>
      <c r="I309" s="35"/>
    </row>
    <row r="310" spans="3:9" x14ac:dyDescent="0.25">
      <c r="C310" s="26">
        <v>0.59199999999999997</v>
      </c>
      <c r="D310" s="855">
        <v>5851</v>
      </c>
      <c r="E310" s="21"/>
      <c r="F310" s="21"/>
      <c r="G310" s="21"/>
      <c r="H310" s="21"/>
      <c r="I310" s="35"/>
    </row>
    <row r="311" spans="3:9" ht="13.8" thickBot="1" x14ac:dyDescent="0.3">
      <c r="C311" s="30"/>
      <c r="D311" s="31"/>
      <c r="E311" s="32"/>
      <c r="F311" s="32"/>
      <c r="G311" s="32"/>
      <c r="H311" s="32"/>
      <c r="I311" s="37"/>
    </row>
    <row r="312" spans="3:9" x14ac:dyDescent="0.25">
      <c r="C312" s="24">
        <v>0.748</v>
      </c>
      <c r="D312" s="865" t="s">
        <v>330</v>
      </c>
      <c r="E312" s="25">
        <f>AVERAGE(C312:C314)</f>
        <v>0.74150000000000005</v>
      </c>
      <c r="F312" s="25">
        <v>146.63320000000002</v>
      </c>
      <c r="G312" s="25">
        <v>178.84835000000001</v>
      </c>
      <c r="H312" s="25">
        <f>AVERAGE(F312:G312)</f>
        <v>162.74077500000001</v>
      </c>
      <c r="I312" s="52">
        <f>H312-108.74</f>
        <v>54.000775000000019</v>
      </c>
    </row>
    <row r="313" spans="3:9" x14ac:dyDescent="0.25">
      <c r="C313" s="26">
        <v>0.73499999999999999</v>
      </c>
      <c r="D313" s="864">
        <v>5811</v>
      </c>
      <c r="E313" s="21"/>
      <c r="F313" s="21"/>
      <c r="G313" s="21"/>
      <c r="H313" s="21"/>
      <c r="I313" s="35"/>
    </row>
    <row r="314" spans="3:9" x14ac:dyDescent="0.25">
      <c r="C314" s="26"/>
      <c r="D314" s="23"/>
      <c r="E314" s="21"/>
      <c r="F314" s="21"/>
      <c r="G314" s="21"/>
      <c r="H314" s="21"/>
      <c r="I314" s="35"/>
    </row>
    <row r="315" spans="3:9" x14ac:dyDescent="0.25">
      <c r="C315" s="26">
        <v>0.50900000000000001</v>
      </c>
      <c r="D315" s="863" t="s">
        <v>330</v>
      </c>
      <c r="E315" s="21">
        <f>AVERAGE(C315:C317)</f>
        <v>0.49149999999999999</v>
      </c>
      <c r="F315" s="21">
        <v>101.94275000000002</v>
      </c>
      <c r="G315" s="21">
        <v>103.89339999999999</v>
      </c>
      <c r="H315" s="21">
        <f>AVERAGE(F315:G315)</f>
        <v>102.918075</v>
      </c>
      <c r="I315" s="35">
        <f>H315-108.74</f>
        <v>-5.8219249999999931</v>
      </c>
    </row>
    <row r="316" spans="3:9" x14ac:dyDescent="0.25">
      <c r="C316" s="26">
        <v>0.47399999999999998</v>
      </c>
      <c r="D316" s="864">
        <v>5830</v>
      </c>
      <c r="E316" s="21"/>
      <c r="F316" s="21"/>
      <c r="G316" s="21"/>
      <c r="H316" s="21"/>
      <c r="I316" s="35"/>
    </row>
    <row r="317" spans="3:9" x14ac:dyDescent="0.25">
      <c r="C317" s="26"/>
      <c r="D317" s="23"/>
      <c r="E317" s="21"/>
      <c r="F317" s="21"/>
      <c r="G317" s="21"/>
      <c r="H317" s="21"/>
      <c r="I317" s="35"/>
    </row>
    <row r="318" spans="3:9" x14ac:dyDescent="0.25">
      <c r="C318" s="26">
        <v>0.56100000000000005</v>
      </c>
      <c r="D318" s="863" t="s">
        <v>330</v>
      </c>
      <c r="E318" s="21">
        <f>AVERAGE(C318:C320)</f>
        <v>0.53150000000000008</v>
      </c>
      <c r="F318" s="21">
        <v>87.743075000000005</v>
      </c>
      <c r="G318" s="21">
        <v>86.00385</v>
      </c>
      <c r="H318" s="21">
        <f>AVERAGE(F318:G318)</f>
        <v>86.873462500000002</v>
      </c>
      <c r="I318" s="35">
        <f>H318-108.74</f>
        <v>-21.866537499999993</v>
      </c>
    </row>
    <row r="319" spans="3:9" x14ac:dyDescent="0.25">
      <c r="C319" s="26">
        <v>0.502</v>
      </c>
      <c r="D319" s="864">
        <v>6001</v>
      </c>
      <c r="E319" s="21"/>
      <c r="F319" s="21"/>
      <c r="G319" s="21"/>
      <c r="H319" s="21"/>
      <c r="I319" s="35"/>
    </row>
    <row r="320" spans="3:9" x14ac:dyDescent="0.25">
      <c r="C320" s="26"/>
      <c r="D320" s="23"/>
      <c r="E320" s="21"/>
      <c r="F320" s="21"/>
      <c r="G320" s="21"/>
      <c r="H320" s="21"/>
      <c r="I320" s="35"/>
    </row>
    <row r="321" spans="3:9" x14ac:dyDescent="0.25">
      <c r="C321" s="26">
        <v>0.55200000000000005</v>
      </c>
      <c r="D321" s="863" t="s">
        <v>330</v>
      </c>
      <c r="E321" s="21">
        <f>AVERAGE(C321:C323)</f>
        <v>0.52700000000000002</v>
      </c>
      <c r="F321" s="21">
        <v>93.136750000000006</v>
      </c>
      <c r="G321" s="21">
        <v>103.55372499999999</v>
      </c>
      <c r="H321" s="21">
        <f>AVERAGE(F321:G321)</f>
        <v>98.345237499999996</v>
      </c>
      <c r="I321" s="35">
        <f>H321-108.74</f>
        <v>-10.394762499999999</v>
      </c>
    </row>
    <row r="322" spans="3:9" x14ac:dyDescent="0.25">
      <c r="C322" s="26">
        <v>0.502</v>
      </c>
      <c r="D322" s="864">
        <v>5831</v>
      </c>
      <c r="E322" s="21"/>
      <c r="F322" s="21"/>
      <c r="G322" s="21"/>
      <c r="H322" s="21"/>
      <c r="I322" s="35"/>
    </row>
    <row r="323" spans="3:9" x14ac:dyDescent="0.25">
      <c r="C323" s="26"/>
      <c r="D323" s="23"/>
      <c r="E323" s="21"/>
      <c r="F323" s="21"/>
      <c r="G323" s="21"/>
      <c r="H323" s="21"/>
      <c r="I323" s="35"/>
    </row>
    <row r="324" spans="3:9" x14ac:dyDescent="0.25">
      <c r="C324" s="26">
        <v>0.52700000000000002</v>
      </c>
      <c r="D324" s="863" t="s">
        <v>330</v>
      </c>
      <c r="E324" s="21">
        <f>AVERAGE(C324:C326)</f>
        <v>0.53</v>
      </c>
      <c r="F324" s="21">
        <v>93.026675000000012</v>
      </c>
      <c r="G324" s="21">
        <v>71.624274999999983</v>
      </c>
      <c r="H324" s="21">
        <f>AVERAGE(F324:G324)</f>
        <v>82.325474999999997</v>
      </c>
      <c r="I324" s="35">
        <f>H324-108.74</f>
        <v>-26.414524999999998</v>
      </c>
    </row>
    <row r="325" spans="3:9" x14ac:dyDescent="0.25">
      <c r="C325" s="26">
        <v>0.53300000000000003</v>
      </c>
      <c r="D325" s="864">
        <v>5815</v>
      </c>
      <c r="E325" s="21"/>
      <c r="F325" s="21"/>
      <c r="G325" s="21"/>
      <c r="H325" s="21"/>
      <c r="I325" s="35"/>
    </row>
    <row r="326" spans="3:9" x14ac:dyDescent="0.25">
      <c r="C326" s="26"/>
      <c r="D326" s="23"/>
      <c r="E326" s="21"/>
      <c r="F326" s="21"/>
      <c r="G326" s="21"/>
      <c r="H326" s="21"/>
      <c r="I326" s="35"/>
    </row>
    <row r="327" spans="3:9" x14ac:dyDescent="0.25">
      <c r="C327" s="26">
        <v>0.69499999999999995</v>
      </c>
      <c r="D327" s="863" t="s">
        <v>330</v>
      </c>
      <c r="E327" s="21">
        <f>AVERAGE(C327:C329)</f>
        <v>0.67399999999999993</v>
      </c>
      <c r="F327" s="21">
        <v>121.20587499999999</v>
      </c>
      <c r="G327" s="21">
        <v>134.01124999999999</v>
      </c>
      <c r="H327" s="21">
        <f>AVERAGE(F327:G327)</f>
        <v>127.60856249999999</v>
      </c>
      <c r="I327" s="35">
        <f>H327-108.74</f>
        <v>18.868562499999996</v>
      </c>
    </row>
    <row r="328" spans="3:9" x14ac:dyDescent="0.25">
      <c r="C328" s="26">
        <v>0.65300000000000002</v>
      </c>
      <c r="D328" s="864">
        <v>5776</v>
      </c>
      <c r="E328" s="21"/>
      <c r="F328" s="21"/>
      <c r="G328" s="21"/>
      <c r="H328" s="21"/>
      <c r="I328" s="35"/>
    </row>
    <row r="329" spans="3:9" x14ac:dyDescent="0.25">
      <c r="C329" s="26"/>
      <c r="D329" s="23"/>
      <c r="E329" s="21"/>
      <c r="F329" s="21"/>
      <c r="G329" s="21"/>
      <c r="H329" s="21"/>
      <c r="I329" s="35"/>
    </row>
    <row r="330" spans="3:9" x14ac:dyDescent="0.25">
      <c r="C330" s="26">
        <v>0.80500000000000005</v>
      </c>
      <c r="D330" s="863" t="s">
        <v>330</v>
      </c>
      <c r="E330" s="21">
        <f>AVERAGE(C330:C332)</f>
        <v>0.83600000000000008</v>
      </c>
      <c r="F330" s="21">
        <v>155.54927499999999</v>
      </c>
      <c r="G330" s="21">
        <v>148.27759999999998</v>
      </c>
      <c r="H330" s="21">
        <f>AVERAGE(F330:G330)</f>
        <v>151.91343749999999</v>
      </c>
      <c r="I330" s="35">
        <f>H330-108.74</f>
        <v>43.173437499999991</v>
      </c>
    </row>
    <row r="331" spans="3:9" x14ac:dyDescent="0.25">
      <c r="C331" s="26">
        <v>0.86699999999999999</v>
      </c>
      <c r="D331" s="864">
        <v>5780</v>
      </c>
      <c r="E331" s="21"/>
      <c r="F331" s="21"/>
      <c r="G331" s="21"/>
      <c r="H331" s="21"/>
      <c r="I331" s="35"/>
    </row>
    <row r="332" spans="3:9" x14ac:dyDescent="0.25">
      <c r="C332" s="26"/>
      <c r="D332" s="23"/>
      <c r="E332" s="21"/>
      <c r="F332" s="21"/>
      <c r="G332" s="21"/>
      <c r="H332" s="21"/>
      <c r="I332" s="35"/>
    </row>
    <row r="333" spans="3:9" x14ac:dyDescent="0.25">
      <c r="C333" s="26">
        <v>0.84</v>
      </c>
      <c r="D333" s="863" t="s">
        <v>330</v>
      </c>
      <c r="E333" s="21">
        <f>AVERAGE(C333:C335)</f>
        <v>0.80549999999999999</v>
      </c>
      <c r="F333" s="21">
        <v>143.22087500000001</v>
      </c>
      <c r="G333" s="21">
        <v>145.22052500000001</v>
      </c>
      <c r="H333" s="21">
        <f>AVERAGE(F333:G333)</f>
        <v>144.22070000000002</v>
      </c>
      <c r="I333" s="35">
        <f>H333-108.74</f>
        <v>35.480700000000027</v>
      </c>
    </row>
    <row r="334" spans="3:9" x14ac:dyDescent="0.25">
      <c r="C334" s="26">
        <v>0.77100000000000002</v>
      </c>
      <c r="D334" s="864">
        <v>6004</v>
      </c>
      <c r="E334" s="21"/>
      <c r="F334" s="21"/>
      <c r="G334" s="21"/>
      <c r="H334" s="21"/>
      <c r="I334" s="35"/>
    </row>
    <row r="335" spans="3:9" x14ac:dyDescent="0.25">
      <c r="C335" s="26"/>
      <c r="D335" s="23"/>
      <c r="E335" s="21"/>
      <c r="F335" s="21"/>
      <c r="G335" s="21"/>
      <c r="H335" s="21"/>
      <c r="I335" s="35"/>
    </row>
    <row r="336" spans="3:9" x14ac:dyDescent="0.25">
      <c r="C336" s="26">
        <v>0.82499999999999996</v>
      </c>
      <c r="D336" s="863" t="s">
        <v>330</v>
      </c>
      <c r="E336" s="21">
        <f>AVERAGE(C336:C338)</f>
        <v>0.72350000000000003</v>
      </c>
      <c r="F336" s="21">
        <v>141.23952499999999</v>
      </c>
      <c r="G336" s="21">
        <v>128.68967500000002</v>
      </c>
      <c r="H336" s="21">
        <f>AVERAGE(F336:G336)</f>
        <v>134.96460000000002</v>
      </c>
      <c r="I336" s="35">
        <f>H336-108.74</f>
        <v>26.224600000000024</v>
      </c>
    </row>
    <row r="337" spans="3:9" x14ac:dyDescent="0.25">
      <c r="C337" s="26">
        <v>0.622</v>
      </c>
      <c r="D337" s="864">
        <v>6002</v>
      </c>
      <c r="E337" s="21"/>
      <c r="F337" s="21"/>
      <c r="G337" s="21"/>
      <c r="H337" s="21"/>
      <c r="I337" s="35"/>
    </row>
    <row r="338" spans="3:9" ht="13.8" thickBot="1" x14ac:dyDescent="0.3">
      <c r="C338" s="30"/>
      <c r="D338" s="31"/>
      <c r="E338" s="32"/>
      <c r="F338" s="32"/>
      <c r="G338" s="32"/>
      <c r="H338" s="32"/>
      <c r="I338" s="37"/>
    </row>
    <row r="339" spans="3:9" x14ac:dyDescent="0.25">
      <c r="C339" s="24">
        <v>0.42</v>
      </c>
      <c r="D339" s="868" t="s">
        <v>331</v>
      </c>
      <c r="E339" s="25">
        <f>AVERAGE(C339:C341)</f>
        <v>0.45499999999999996</v>
      </c>
      <c r="F339" s="25">
        <v>134.855175</v>
      </c>
      <c r="G339" s="25">
        <v>117.9333</v>
      </c>
      <c r="H339" s="25">
        <f>AVERAGE(F339:G339)</f>
        <v>126.3942375</v>
      </c>
      <c r="I339" s="52"/>
    </row>
    <row r="340" spans="3:9" x14ac:dyDescent="0.25">
      <c r="C340" s="26">
        <v>0.49</v>
      </c>
      <c r="D340" s="806">
        <v>5812</v>
      </c>
      <c r="E340" s="21"/>
      <c r="F340" s="21"/>
      <c r="G340" s="21"/>
      <c r="H340" s="21"/>
      <c r="I340" s="35"/>
    </row>
    <row r="341" spans="3:9" x14ac:dyDescent="0.25">
      <c r="C341" s="26"/>
      <c r="D341" s="23"/>
      <c r="E341" s="21"/>
      <c r="F341" s="21"/>
      <c r="G341" s="21"/>
      <c r="H341" s="21"/>
      <c r="I341" s="35"/>
    </row>
    <row r="342" spans="3:9" x14ac:dyDescent="0.25">
      <c r="C342" s="26">
        <v>0.49399999999999999</v>
      </c>
      <c r="D342" s="866" t="s">
        <v>331</v>
      </c>
      <c r="E342" s="21">
        <f>AVERAGE(C342:C344)</f>
        <v>0.47950000000000004</v>
      </c>
      <c r="F342" s="21">
        <v>123.73760000000001</v>
      </c>
      <c r="G342" s="21">
        <v>116.12169999999998</v>
      </c>
      <c r="H342" s="21">
        <f>AVERAGE(F342:G342)</f>
        <v>119.92965</v>
      </c>
      <c r="I342" s="35"/>
    </row>
    <row r="343" spans="3:9" x14ac:dyDescent="0.25">
      <c r="C343" s="26">
        <v>0.46500000000000002</v>
      </c>
      <c r="D343" s="806">
        <v>5813</v>
      </c>
      <c r="E343" s="21"/>
      <c r="F343" s="21"/>
      <c r="G343" s="21"/>
      <c r="H343" s="21"/>
      <c r="I343" s="35"/>
    </row>
    <row r="344" spans="3:9" x14ac:dyDescent="0.25">
      <c r="C344" s="26"/>
      <c r="D344" s="23"/>
      <c r="E344" s="21"/>
      <c r="F344" s="21"/>
      <c r="G344" s="21"/>
      <c r="H344" s="21"/>
      <c r="I344" s="35"/>
    </row>
    <row r="345" spans="3:9" x14ac:dyDescent="0.25">
      <c r="C345" s="26">
        <v>0.48599999999999999</v>
      </c>
      <c r="D345" s="866" t="s">
        <v>331</v>
      </c>
      <c r="E345" s="21">
        <f>AVERAGE(C345:C347)</f>
        <v>0.46199999999999997</v>
      </c>
      <c r="F345" s="21">
        <v>82.899775000000005</v>
      </c>
      <c r="G345" s="21">
        <v>84.192249999999973</v>
      </c>
      <c r="H345" s="21">
        <f>AVERAGE(F345:G345)</f>
        <v>83.546012499999989</v>
      </c>
      <c r="I345" s="35"/>
    </row>
    <row r="346" spans="3:9" x14ac:dyDescent="0.25">
      <c r="C346" s="26">
        <v>0.438</v>
      </c>
      <c r="D346" s="806">
        <v>5810</v>
      </c>
      <c r="E346" s="21"/>
      <c r="F346" s="21"/>
      <c r="G346" s="21"/>
      <c r="H346" s="21"/>
      <c r="I346" s="35"/>
    </row>
    <row r="347" spans="3:9" x14ac:dyDescent="0.25">
      <c r="C347" s="26"/>
      <c r="D347" s="23"/>
      <c r="E347" s="21"/>
      <c r="F347" s="21"/>
      <c r="G347" s="21"/>
      <c r="H347" s="21"/>
      <c r="I347" s="35"/>
    </row>
    <row r="348" spans="3:9" x14ac:dyDescent="0.25">
      <c r="C348" s="26">
        <v>0.67500000000000004</v>
      </c>
      <c r="D348" s="866" t="s">
        <v>331</v>
      </c>
      <c r="E348" s="21">
        <f>AVERAGE(C348:C350)</f>
        <v>0.69799999999999995</v>
      </c>
      <c r="F348" s="21">
        <v>93.026675000000012</v>
      </c>
      <c r="G348" s="57">
        <f>190.963425/2</f>
        <v>95.4817125</v>
      </c>
      <c r="H348" s="21">
        <f>AVERAGE(F348:G348)</f>
        <v>94.254193750000013</v>
      </c>
      <c r="I348" s="35"/>
    </row>
    <row r="349" spans="3:9" x14ac:dyDescent="0.25">
      <c r="C349" s="26">
        <v>0.72099999999999997</v>
      </c>
      <c r="D349" s="806">
        <v>5829</v>
      </c>
      <c r="E349" s="21"/>
      <c r="F349" s="21"/>
      <c r="G349" s="21"/>
      <c r="H349" s="21"/>
      <c r="I349" s="35"/>
    </row>
    <row r="350" spans="3:9" x14ac:dyDescent="0.25">
      <c r="C350" s="26"/>
      <c r="D350" s="23"/>
      <c r="E350" s="21"/>
      <c r="F350" s="21"/>
      <c r="G350" s="21"/>
      <c r="H350" s="21"/>
      <c r="I350" s="35"/>
    </row>
    <row r="351" spans="3:9" x14ac:dyDescent="0.25">
      <c r="C351" s="26">
        <v>0.435</v>
      </c>
      <c r="D351" s="866" t="s">
        <v>331</v>
      </c>
      <c r="E351" s="21">
        <f>AVERAGE(C351:C353)</f>
        <v>0.44</v>
      </c>
      <c r="F351" s="21">
        <v>119.44467499999999</v>
      </c>
      <c r="G351" s="21">
        <v>111.02657500000001</v>
      </c>
      <c r="H351" s="21">
        <f>AVERAGE(F351:G351)</f>
        <v>115.235625</v>
      </c>
      <c r="I351" s="35"/>
    </row>
    <row r="352" spans="3:9" x14ac:dyDescent="0.25">
      <c r="C352" s="26">
        <v>0.44500000000000001</v>
      </c>
      <c r="D352" s="806">
        <v>5814</v>
      </c>
      <c r="E352" s="21"/>
      <c r="F352" s="21"/>
      <c r="G352" s="21"/>
      <c r="H352" s="21"/>
      <c r="I352" s="35"/>
    </row>
    <row r="353" spans="3:9" x14ac:dyDescent="0.25">
      <c r="C353" s="26"/>
      <c r="D353" s="23"/>
      <c r="E353" s="21"/>
      <c r="F353" s="21"/>
      <c r="G353" s="21"/>
      <c r="H353" s="21"/>
      <c r="I353" s="35"/>
    </row>
    <row r="354" spans="3:9" x14ac:dyDescent="0.25">
      <c r="C354" s="26">
        <v>0.52900000000000003</v>
      </c>
      <c r="D354" s="866" t="s">
        <v>331</v>
      </c>
      <c r="E354" s="21">
        <f>AVERAGE(C354:C356)</f>
        <v>0.49550000000000005</v>
      </c>
      <c r="F354" s="21">
        <v>130.78240000000002</v>
      </c>
      <c r="G354" s="21">
        <v>105.81822499999998</v>
      </c>
      <c r="H354" s="21">
        <f>AVERAGE(F354:G354)</f>
        <v>118.3003125</v>
      </c>
      <c r="I354" s="35"/>
    </row>
    <row r="355" spans="3:9" x14ac:dyDescent="0.25">
      <c r="C355" s="26">
        <v>0.46200000000000002</v>
      </c>
      <c r="D355" s="806">
        <v>5777</v>
      </c>
      <c r="E355" s="21"/>
      <c r="F355" s="21"/>
      <c r="G355" s="21"/>
      <c r="H355" s="21"/>
      <c r="I355" s="35"/>
    </row>
    <row r="356" spans="3:9" x14ac:dyDescent="0.25">
      <c r="C356" s="26"/>
      <c r="D356" s="23"/>
      <c r="E356" s="21"/>
      <c r="F356" s="21"/>
      <c r="G356" s="21"/>
      <c r="H356" s="21"/>
      <c r="I356" s="35"/>
    </row>
    <row r="357" spans="3:9" x14ac:dyDescent="0.25">
      <c r="C357" s="26">
        <v>0.61799999999999999</v>
      </c>
      <c r="D357" s="866" t="s">
        <v>331</v>
      </c>
      <c r="E357" s="21">
        <f>AVERAGE(C357:C359)</f>
        <v>0.69350000000000001</v>
      </c>
      <c r="F357" s="21">
        <v>121.646175</v>
      </c>
      <c r="G357" s="21">
        <v>85.3245</v>
      </c>
      <c r="H357" s="21">
        <f>AVERAGE(F357:G357)</f>
        <v>103.4853375</v>
      </c>
      <c r="I357" s="35"/>
    </row>
    <row r="358" spans="3:9" x14ac:dyDescent="0.25">
      <c r="C358" s="26">
        <v>0.76900000000000002</v>
      </c>
      <c r="D358" s="806">
        <v>6006</v>
      </c>
      <c r="E358" s="21"/>
      <c r="F358" s="21"/>
      <c r="G358" s="21"/>
      <c r="H358" s="21"/>
      <c r="I358" s="35"/>
    </row>
    <row r="359" spans="3:9" ht="13.8" thickBot="1" x14ac:dyDescent="0.3">
      <c r="C359" s="30"/>
      <c r="D359" s="31"/>
      <c r="E359" s="32"/>
      <c r="F359" s="32"/>
      <c r="G359" s="32"/>
      <c r="H359" s="32"/>
      <c r="I359" s="37"/>
    </row>
    <row r="360" spans="3:9" x14ac:dyDescent="0.25">
      <c r="C360" s="24">
        <v>0.35299999999999998</v>
      </c>
      <c r="D360" s="867" t="s">
        <v>332</v>
      </c>
      <c r="E360" s="25">
        <f>AVERAGE(C360:C362)</f>
        <v>0.35249999999999998</v>
      </c>
      <c r="F360" s="25">
        <v>67.269125000000003</v>
      </c>
      <c r="G360" s="25">
        <v>52.942149999999984</v>
      </c>
      <c r="H360" s="25">
        <f>AVERAGE(F360:G360)</f>
        <v>60.105637499999993</v>
      </c>
      <c r="I360" s="52"/>
    </row>
    <row r="361" spans="3:9" x14ac:dyDescent="0.25">
      <c r="C361" s="26">
        <v>0.35199999999999998</v>
      </c>
      <c r="D361" s="301">
        <v>5715</v>
      </c>
      <c r="E361" s="21"/>
      <c r="F361" s="21"/>
      <c r="G361" s="21"/>
      <c r="H361" s="21"/>
      <c r="I361" s="35"/>
    </row>
    <row r="362" spans="3:9" x14ac:dyDescent="0.25">
      <c r="C362" s="26"/>
      <c r="D362" s="23"/>
      <c r="E362" s="21"/>
      <c r="F362" s="21"/>
      <c r="G362" s="21"/>
      <c r="H362" s="21"/>
      <c r="I362" s="35"/>
    </row>
    <row r="363" spans="3:9" x14ac:dyDescent="0.25">
      <c r="C363" s="26">
        <v>0.51200000000000001</v>
      </c>
      <c r="D363" s="869" t="s">
        <v>332</v>
      </c>
      <c r="E363" s="21">
        <f>AVERAGE(C363:C365)</f>
        <v>0.52100000000000002</v>
      </c>
      <c r="F363" s="21">
        <v>63.306424999999997</v>
      </c>
      <c r="G363" s="21">
        <v>53.961174999999997</v>
      </c>
      <c r="H363" s="21">
        <f>AVERAGE(F363:G363)</f>
        <v>58.633799999999994</v>
      </c>
      <c r="I363" s="35"/>
    </row>
    <row r="364" spans="3:9" x14ac:dyDescent="0.25">
      <c r="C364" s="26">
        <v>0.53</v>
      </c>
      <c r="D364" s="301">
        <v>6005</v>
      </c>
      <c r="E364" s="21"/>
      <c r="F364" s="21"/>
      <c r="G364" s="21"/>
      <c r="H364" s="21"/>
      <c r="I364" s="35"/>
    </row>
    <row r="365" spans="3:9" x14ac:dyDescent="0.25">
      <c r="C365" s="26"/>
      <c r="D365" s="23"/>
      <c r="E365" s="21"/>
      <c r="F365" s="21"/>
      <c r="G365" s="21"/>
      <c r="H365" s="21"/>
      <c r="I365" s="35"/>
    </row>
    <row r="366" spans="3:9" x14ac:dyDescent="0.25">
      <c r="C366" s="26">
        <v>0.55000000000000004</v>
      </c>
      <c r="D366" s="869" t="s">
        <v>332</v>
      </c>
      <c r="E366" s="21">
        <f>AVERAGE(C366:C368)</f>
        <v>0.51500000000000001</v>
      </c>
      <c r="F366" s="21">
        <v>61.325075000000005</v>
      </c>
      <c r="G366" s="21">
        <v>58.490174999999994</v>
      </c>
      <c r="H366" s="21">
        <f>AVERAGE(F366:G366)</f>
        <v>59.907624999999996</v>
      </c>
      <c r="I366" s="35"/>
    </row>
    <row r="367" spans="3:9" x14ac:dyDescent="0.25">
      <c r="C367" s="26">
        <v>0.48</v>
      </c>
      <c r="D367" s="301">
        <v>5718</v>
      </c>
      <c r="E367" s="21"/>
      <c r="F367" s="21"/>
      <c r="G367" s="21"/>
      <c r="H367" s="21"/>
      <c r="I367" s="35"/>
    </row>
    <row r="368" spans="3:9" x14ac:dyDescent="0.25">
      <c r="C368" s="26"/>
      <c r="D368" s="23"/>
      <c r="E368" s="21"/>
      <c r="F368" s="21"/>
      <c r="G368" s="21"/>
      <c r="H368" s="21"/>
      <c r="I368" s="35"/>
    </row>
    <row r="369" spans="3:9" x14ac:dyDescent="0.25">
      <c r="C369" s="26">
        <v>0.59599999999999997</v>
      </c>
      <c r="D369" s="869" t="s">
        <v>332</v>
      </c>
      <c r="E369" s="21">
        <f>AVERAGE(C369:C371)</f>
        <v>0.55200000000000005</v>
      </c>
      <c r="F369" s="21">
        <v>72.993025000000017</v>
      </c>
      <c r="G369" s="21">
        <v>64.377875000000003</v>
      </c>
      <c r="H369" s="21">
        <f>AVERAGE(F369:G369)</f>
        <v>68.685450000000003</v>
      </c>
      <c r="I369" s="35"/>
    </row>
    <row r="370" spans="3:9" x14ac:dyDescent="0.25">
      <c r="C370" s="26">
        <v>0.50800000000000001</v>
      </c>
      <c r="D370" s="301">
        <v>5716</v>
      </c>
      <c r="E370" s="21"/>
      <c r="F370" s="21"/>
      <c r="G370" s="21"/>
      <c r="H370" s="21"/>
      <c r="I370" s="35"/>
    </row>
    <row r="371" spans="3:9" x14ac:dyDescent="0.25">
      <c r="C371" s="26"/>
      <c r="D371" s="23"/>
      <c r="E371" s="21"/>
      <c r="F371" s="21"/>
      <c r="G371" s="21"/>
      <c r="H371" s="21"/>
      <c r="I371" s="35"/>
    </row>
    <row r="372" spans="3:9" x14ac:dyDescent="0.25">
      <c r="C372" s="26">
        <v>0.44500000000000001</v>
      </c>
      <c r="D372" s="869" t="s">
        <v>332</v>
      </c>
      <c r="E372" s="21">
        <f>AVERAGE(C372:C374)</f>
        <v>0.44650000000000001</v>
      </c>
      <c r="F372" s="21">
        <v>70.351225000000028</v>
      </c>
      <c r="G372" s="21">
        <v>96.873449999999991</v>
      </c>
      <c r="H372" s="21">
        <f>AVERAGE(F372:G372)</f>
        <v>83.61233750000001</v>
      </c>
      <c r="I372" s="35"/>
    </row>
    <row r="373" spans="3:9" x14ac:dyDescent="0.25">
      <c r="C373" s="26">
        <v>0.44800000000000001</v>
      </c>
      <c r="D373" s="301">
        <v>5717</v>
      </c>
      <c r="E373" s="21"/>
      <c r="F373" s="21"/>
      <c r="G373" s="21"/>
      <c r="H373" s="21"/>
      <c r="I373" s="35"/>
    </row>
    <row r="374" spans="3:9" x14ac:dyDescent="0.25">
      <c r="C374" s="26"/>
      <c r="D374" s="23"/>
      <c r="E374" s="21"/>
      <c r="F374" s="21"/>
      <c r="G374" s="21"/>
      <c r="H374" s="21"/>
      <c r="I374" s="35"/>
    </row>
    <row r="375" spans="3:9" x14ac:dyDescent="0.25">
      <c r="C375" s="26">
        <v>0.47899999999999998</v>
      </c>
      <c r="D375" s="869" t="s">
        <v>332</v>
      </c>
      <c r="E375" s="21">
        <f>AVERAGE(C375:C377)</f>
        <v>0.49149999999999999</v>
      </c>
      <c r="F375" s="21">
        <v>74.754224999999991</v>
      </c>
      <c r="G375" s="21">
        <v>50.9041</v>
      </c>
      <c r="H375" s="21">
        <f>AVERAGE(F375:G375)</f>
        <v>62.829162499999995</v>
      </c>
      <c r="I375" s="35"/>
    </row>
    <row r="376" spans="3:9" x14ac:dyDescent="0.25">
      <c r="C376" s="26">
        <v>0.504</v>
      </c>
      <c r="D376" s="301">
        <v>5789</v>
      </c>
      <c r="E376" s="21"/>
      <c r="F376" s="21"/>
      <c r="G376" s="21"/>
      <c r="H376" s="21"/>
      <c r="I376" s="35"/>
    </row>
    <row r="377" spans="3:9" ht="13.8" thickBot="1" x14ac:dyDescent="0.3">
      <c r="C377" s="27"/>
      <c r="D377" s="28"/>
      <c r="E377" s="29"/>
      <c r="F377" s="29"/>
      <c r="G377" s="29"/>
      <c r="H377" s="29"/>
      <c r="I377" s="36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2CEEB-6983-45C5-BFAC-80CBCF0A685A}">
  <dimension ref="A2:Q93"/>
  <sheetViews>
    <sheetView topLeftCell="A4" workbookViewId="0">
      <selection activeCell="K53" sqref="K53"/>
    </sheetView>
  </sheetViews>
  <sheetFormatPr defaultRowHeight="13.2" x14ac:dyDescent="0.25"/>
  <cols>
    <col min="7" max="7" width="17.77734375" customWidth="1"/>
  </cols>
  <sheetData>
    <row r="2" spans="1:17" ht="14.4" x14ac:dyDescent="0.3">
      <c r="A2" s="786" t="s">
        <v>311</v>
      </c>
      <c r="B2" s="780"/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</row>
    <row r="3" spans="1:17" ht="15" thickBot="1" x14ac:dyDescent="0.35">
      <c r="A3" s="780"/>
      <c r="B3" s="780"/>
      <c r="C3" s="780"/>
      <c r="D3" s="780"/>
      <c r="E3" s="780"/>
      <c r="F3" s="780"/>
      <c r="G3" s="781" t="s">
        <v>296</v>
      </c>
      <c r="H3" s="780"/>
      <c r="I3" s="780"/>
      <c r="J3" s="780"/>
      <c r="K3" s="780"/>
      <c r="L3" s="780"/>
      <c r="M3" s="780"/>
      <c r="N3" s="780"/>
      <c r="O3" s="780"/>
      <c r="P3" s="780"/>
      <c r="Q3" s="780"/>
    </row>
    <row r="4" spans="1:17" ht="14.4" x14ac:dyDescent="0.3">
      <c r="A4" s="807" t="s">
        <v>303</v>
      </c>
      <c r="B4" s="780"/>
      <c r="C4" s="807" t="s">
        <v>297</v>
      </c>
      <c r="D4" s="807" t="s">
        <v>12</v>
      </c>
      <c r="E4" s="780"/>
      <c r="F4" s="780"/>
      <c r="G4" s="782"/>
      <c r="H4" s="787" t="s">
        <v>298</v>
      </c>
      <c r="I4" s="791" t="s">
        <v>299</v>
      </c>
      <c r="J4" s="792" t="s">
        <v>13</v>
      </c>
      <c r="K4" s="780"/>
      <c r="L4" s="780"/>
      <c r="M4" s="780"/>
      <c r="N4" s="780"/>
      <c r="O4" s="780"/>
      <c r="P4" s="780"/>
      <c r="Q4" s="780"/>
    </row>
    <row r="5" spans="1:17" ht="15" thickBot="1" x14ac:dyDescent="0.35">
      <c r="A5" s="808">
        <v>1</v>
      </c>
      <c r="B5" s="781" t="s">
        <v>300</v>
      </c>
      <c r="C5" s="781">
        <v>1378.9010000000001</v>
      </c>
      <c r="D5" s="781">
        <v>110.449</v>
      </c>
      <c r="E5" s="780"/>
      <c r="F5" s="780"/>
      <c r="G5" s="782">
        <v>1</v>
      </c>
      <c r="H5" s="788">
        <v>39.762999999999998</v>
      </c>
      <c r="I5" s="793">
        <f>AVERAGE(H5:H14)</f>
        <v>161.24029999999999</v>
      </c>
      <c r="J5" s="794">
        <f>STDEV(H5:H14)/SQRT(COUNT(H5:H14))</f>
        <v>18.652991122099213</v>
      </c>
      <c r="K5" s="780"/>
      <c r="L5" s="780"/>
      <c r="M5" s="780"/>
      <c r="N5" s="780"/>
      <c r="O5" s="780"/>
      <c r="P5" s="780"/>
      <c r="Q5" s="780"/>
    </row>
    <row r="6" spans="1:17" ht="14.4" x14ac:dyDescent="0.3">
      <c r="A6" s="809"/>
      <c r="B6" s="781" t="s">
        <v>301</v>
      </c>
      <c r="C6" s="781">
        <v>1378.9010000000001</v>
      </c>
      <c r="D6" s="781">
        <v>39.762999999999998</v>
      </c>
      <c r="E6" s="780"/>
      <c r="F6" s="780"/>
      <c r="G6" s="782">
        <v>2</v>
      </c>
      <c r="H6" s="785">
        <v>189.76300000000001</v>
      </c>
      <c r="I6" s="784"/>
      <c r="J6" s="784"/>
      <c r="K6" s="780"/>
      <c r="L6" s="780"/>
      <c r="M6" s="780"/>
      <c r="N6" s="780"/>
      <c r="O6" s="780"/>
      <c r="P6" s="780"/>
      <c r="Q6" s="780"/>
    </row>
    <row r="7" spans="1:17" ht="14.4" x14ac:dyDescent="0.3">
      <c r="A7" s="809"/>
      <c r="B7" s="780"/>
      <c r="C7" s="780"/>
      <c r="D7" s="780"/>
      <c r="E7" s="780"/>
      <c r="F7" s="780"/>
      <c r="G7" s="782">
        <v>3</v>
      </c>
      <c r="H7" s="785">
        <v>183.34399999999999</v>
      </c>
      <c r="I7" s="784"/>
      <c r="J7" s="784"/>
      <c r="K7" s="780"/>
      <c r="L7" s="780"/>
      <c r="M7" s="780"/>
      <c r="N7" s="780"/>
      <c r="O7" s="780"/>
      <c r="P7" s="780"/>
      <c r="Q7" s="780"/>
    </row>
    <row r="8" spans="1:17" ht="14.4" x14ac:dyDescent="0.3">
      <c r="A8" s="809"/>
      <c r="B8" s="780"/>
      <c r="C8" s="780"/>
      <c r="D8" s="780"/>
      <c r="E8" s="780"/>
      <c r="F8" s="780"/>
      <c r="G8" s="782">
        <v>4</v>
      </c>
      <c r="H8" s="785">
        <v>272.92599999999999</v>
      </c>
      <c r="I8" s="784"/>
      <c r="J8" s="784"/>
      <c r="K8" s="780"/>
      <c r="L8" s="780"/>
      <c r="M8" s="780"/>
      <c r="N8" s="780"/>
      <c r="O8" s="780"/>
      <c r="P8" s="780"/>
      <c r="Q8" s="780"/>
    </row>
    <row r="9" spans="1:17" ht="14.4" x14ac:dyDescent="0.3">
      <c r="A9" s="809"/>
      <c r="B9" s="780"/>
      <c r="C9" s="807" t="s">
        <v>297</v>
      </c>
      <c r="D9" s="807" t="s">
        <v>12</v>
      </c>
      <c r="E9" s="780"/>
      <c r="F9" s="780"/>
      <c r="G9" s="782">
        <v>5</v>
      </c>
      <c r="H9" s="785">
        <v>180.12899999999999</v>
      </c>
      <c r="I9" s="784"/>
      <c r="J9" s="784"/>
      <c r="K9" s="780"/>
      <c r="L9" s="780"/>
      <c r="M9" s="780"/>
      <c r="N9" s="780"/>
      <c r="O9" s="780"/>
      <c r="P9" s="780"/>
      <c r="Q9" s="780"/>
    </row>
    <row r="10" spans="1:17" ht="14.4" x14ac:dyDescent="0.3">
      <c r="A10" s="808">
        <v>2</v>
      </c>
      <c r="B10" s="781" t="s">
        <v>300</v>
      </c>
      <c r="C10" s="781">
        <v>239.68700000000001</v>
      </c>
      <c r="D10" s="781">
        <v>968.03899999999999</v>
      </c>
      <c r="E10" s="780"/>
      <c r="F10" s="780"/>
      <c r="G10" s="782">
        <v>6</v>
      </c>
      <c r="H10" s="785">
        <v>142.91499999999999</v>
      </c>
      <c r="I10" s="784"/>
      <c r="J10" s="784"/>
      <c r="K10" s="780"/>
      <c r="L10" s="780"/>
      <c r="M10" s="780"/>
      <c r="N10" s="780"/>
      <c r="O10" s="780"/>
      <c r="P10" s="780"/>
      <c r="Q10" s="780"/>
    </row>
    <row r="11" spans="1:17" ht="14.4" x14ac:dyDescent="0.3">
      <c r="B11" s="781" t="s">
        <v>301</v>
      </c>
      <c r="C11" s="781">
        <v>239.68700000000001</v>
      </c>
      <c r="D11" s="781">
        <v>189.76300000000001</v>
      </c>
      <c r="E11" s="780"/>
      <c r="F11" s="780"/>
      <c r="G11" s="782">
        <v>7</v>
      </c>
      <c r="H11" s="785">
        <v>130.63900000000001</v>
      </c>
      <c r="I11" s="784"/>
      <c r="J11" s="784"/>
      <c r="K11" s="780"/>
      <c r="L11" s="780"/>
      <c r="M11" s="780"/>
      <c r="N11" s="780"/>
      <c r="O11" s="780"/>
      <c r="P11" s="780"/>
      <c r="Q11" s="780"/>
    </row>
    <row r="12" spans="1:17" ht="14.4" x14ac:dyDescent="0.3">
      <c r="A12" s="780"/>
      <c r="B12" s="780"/>
      <c r="C12" s="780"/>
      <c r="D12" s="780"/>
      <c r="E12" s="780"/>
      <c r="F12" s="780"/>
      <c r="G12" s="782">
        <v>8</v>
      </c>
      <c r="H12" s="785">
        <v>131.696</v>
      </c>
      <c r="I12" s="784"/>
      <c r="J12" s="784"/>
      <c r="K12" s="780"/>
      <c r="L12" s="780"/>
      <c r="M12" s="780"/>
      <c r="N12" s="780"/>
      <c r="O12" s="780"/>
      <c r="P12" s="780"/>
      <c r="Q12" s="780"/>
    </row>
    <row r="13" spans="1:17" ht="14.4" x14ac:dyDescent="0.3">
      <c r="A13" s="780"/>
      <c r="B13" s="780"/>
      <c r="C13" s="807" t="s">
        <v>297</v>
      </c>
      <c r="D13" s="807" t="s">
        <v>12</v>
      </c>
      <c r="E13" s="780"/>
      <c r="F13" s="780"/>
      <c r="G13" s="782">
        <v>9</v>
      </c>
      <c r="H13" s="785">
        <v>163.40700000000001</v>
      </c>
      <c r="I13" s="784"/>
      <c r="J13" s="784"/>
      <c r="K13" s="780"/>
      <c r="L13" s="780"/>
      <c r="M13" s="780"/>
      <c r="N13" s="780"/>
      <c r="O13" s="780"/>
      <c r="P13" s="780"/>
      <c r="Q13" s="780"/>
    </row>
    <row r="14" spans="1:17" ht="14.4" x14ac:dyDescent="0.3">
      <c r="A14" s="808">
        <v>3</v>
      </c>
      <c r="B14" s="781" t="s">
        <v>300</v>
      </c>
      <c r="C14" s="781">
        <v>164.874</v>
      </c>
      <c r="D14" s="781">
        <v>782.00099999999998</v>
      </c>
      <c r="E14" s="780"/>
      <c r="F14" s="780"/>
      <c r="G14" s="782">
        <v>10</v>
      </c>
      <c r="H14" s="785">
        <v>177.821</v>
      </c>
      <c r="I14" s="784"/>
      <c r="J14" s="784"/>
      <c r="K14" s="780"/>
      <c r="L14" s="780"/>
      <c r="M14" s="780"/>
      <c r="N14" s="780"/>
      <c r="O14" s="780"/>
      <c r="P14" s="780"/>
      <c r="Q14" s="780"/>
    </row>
    <row r="15" spans="1:17" ht="14.4" x14ac:dyDescent="0.3">
      <c r="A15" s="780"/>
      <c r="B15" s="781" t="s">
        <v>301</v>
      </c>
      <c r="C15" s="781">
        <v>164.874</v>
      </c>
      <c r="D15" s="781">
        <v>183.34399999999999</v>
      </c>
      <c r="E15" s="780"/>
      <c r="F15" s="780"/>
      <c r="G15" s="780"/>
      <c r="H15" s="780"/>
      <c r="I15" s="780"/>
      <c r="J15" s="780"/>
      <c r="K15" s="780"/>
      <c r="L15" s="780"/>
      <c r="M15" s="780"/>
      <c r="N15" s="780"/>
      <c r="O15" s="780"/>
      <c r="P15" s="780"/>
      <c r="Q15" s="780"/>
    </row>
    <row r="16" spans="1:17" ht="14.4" x14ac:dyDescent="0.3">
      <c r="A16" s="780"/>
      <c r="E16" s="780"/>
      <c r="F16" s="780"/>
      <c r="G16" s="780"/>
      <c r="H16" s="784"/>
      <c r="I16" s="784"/>
      <c r="J16" s="784"/>
      <c r="K16" s="784"/>
      <c r="L16" s="784"/>
      <c r="M16" s="784"/>
      <c r="N16" s="784"/>
      <c r="O16" s="784"/>
      <c r="P16" s="784"/>
      <c r="Q16" s="784"/>
    </row>
    <row r="17" spans="1:4" ht="14.4" x14ac:dyDescent="0.3">
      <c r="A17" s="781"/>
      <c r="B17" s="780"/>
      <c r="C17" s="807" t="s">
        <v>297</v>
      </c>
      <c r="D17" s="807" t="s">
        <v>12</v>
      </c>
    </row>
    <row r="18" spans="1:4" ht="14.4" x14ac:dyDescent="0.3">
      <c r="A18" s="808">
        <v>4</v>
      </c>
      <c r="B18" s="781" t="s">
        <v>300</v>
      </c>
      <c r="C18" s="781">
        <v>121.578</v>
      </c>
      <c r="D18" s="781">
        <v>1169.3209999999999</v>
      </c>
    </row>
    <row r="19" spans="1:4" ht="14.4" x14ac:dyDescent="0.3">
      <c r="A19" s="780"/>
      <c r="B19" s="781" t="s">
        <v>301</v>
      </c>
      <c r="C19" s="781">
        <v>121.578</v>
      </c>
      <c r="D19" s="781">
        <v>272.92599999999999</v>
      </c>
    </row>
    <row r="20" spans="1:4" ht="14.4" x14ac:dyDescent="0.3">
      <c r="A20" s="780"/>
    </row>
    <row r="21" spans="1:4" ht="14.4" x14ac:dyDescent="0.3">
      <c r="B21" s="780"/>
      <c r="C21" s="807" t="s">
        <v>297</v>
      </c>
      <c r="D21" s="807" t="s">
        <v>12</v>
      </c>
    </row>
    <row r="22" spans="1:4" ht="14.4" x14ac:dyDescent="0.3">
      <c r="A22" s="808">
        <v>5</v>
      </c>
      <c r="B22" s="781" t="s">
        <v>300</v>
      </c>
      <c r="C22" s="781">
        <v>418.26</v>
      </c>
      <c r="D22" s="781">
        <v>1496.3050000000001</v>
      </c>
    </row>
    <row r="23" spans="1:4" ht="14.4" x14ac:dyDescent="0.3">
      <c r="B23" s="781" t="s">
        <v>301</v>
      </c>
      <c r="C23" s="781">
        <v>418.26</v>
      </c>
      <c r="D23" s="781">
        <v>180.12899999999999</v>
      </c>
    </row>
    <row r="25" spans="1:4" ht="14.4" x14ac:dyDescent="0.3">
      <c r="B25" s="780"/>
      <c r="C25" s="807" t="s">
        <v>297</v>
      </c>
      <c r="D25" s="807" t="s">
        <v>12</v>
      </c>
    </row>
    <row r="26" spans="1:4" ht="14.4" x14ac:dyDescent="0.3">
      <c r="A26" s="808">
        <v>6</v>
      </c>
      <c r="B26" s="781" t="s">
        <v>300</v>
      </c>
      <c r="C26" s="781">
        <v>356.30900000000003</v>
      </c>
      <c r="D26" s="781">
        <v>808.89200000000005</v>
      </c>
    </row>
    <row r="27" spans="1:4" ht="14.4" x14ac:dyDescent="0.3">
      <c r="A27" s="809"/>
      <c r="B27" s="781" t="s">
        <v>301</v>
      </c>
      <c r="C27" s="781">
        <v>356.30900000000003</v>
      </c>
      <c r="D27" s="781">
        <v>142.91499999999999</v>
      </c>
    </row>
    <row r="28" spans="1:4" x14ac:dyDescent="0.25">
      <c r="A28" s="104"/>
    </row>
    <row r="29" spans="1:4" ht="14.4" x14ac:dyDescent="0.3">
      <c r="A29" s="104"/>
      <c r="B29" s="780"/>
      <c r="C29" s="807" t="s">
        <v>297</v>
      </c>
      <c r="D29" s="807" t="s">
        <v>12</v>
      </c>
    </row>
    <row r="30" spans="1:4" ht="14.4" x14ac:dyDescent="0.3">
      <c r="A30" s="808">
        <v>7</v>
      </c>
      <c r="B30" s="781" t="s">
        <v>300</v>
      </c>
      <c r="C30" s="781">
        <v>362.52300000000002</v>
      </c>
      <c r="D30" s="781">
        <v>1243.162</v>
      </c>
    </row>
    <row r="31" spans="1:4" ht="14.4" x14ac:dyDescent="0.3">
      <c r="A31" s="780"/>
      <c r="B31" s="781" t="s">
        <v>301</v>
      </c>
      <c r="C31" s="781">
        <v>362.52300000000002</v>
      </c>
      <c r="D31" s="781">
        <v>130.63900000000001</v>
      </c>
    </row>
    <row r="33" spans="1:8" ht="14.4" x14ac:dyDescent="0.3">
      <c r="B33" s="780"/>
      <c r="C33" s="807" t="s">
        <v>297</v>
      </c>
      <c r="D33" s="807" t="s">
        <v>12</v>
      </c>
    </row>
    <row r="34" spans="1:8" ht="14.4" x14ac:dyDescent="0.3">
      <c r="A34" s="808">
        <v>8</v>
      </c>
      <c r="B34" s="781" t="s">
        <v>300</v>
      </c>
      <c r="C34" s="781">
        <v>142.381</v>
      </c>
      <c r="D34" s="781">
        <v>1594.84</v>
      </c>
    </row>
    <row r="35" spans="1:8" ht="14.4" x14ac:dyDescent="0.3">
      <c r="A35" s="780"/>
      <c r="B35" s="781" t="s">
        <v>301</v>
      </c>
      <c r="C35" s="781">
        <v>142.381</v>
      </c>
      <c r="D35" s="781">
        <v>131.696</v>
      </c>
    </row>
    <row r="37" spans="1:8" ht="14.4" x14ac:dyDescent="0.3">
      <c r="B37" s="780"/>
      <c r="C37" s="807" t="s">
        <v>297</v>
      </c>
      <c r="D37" s="807" t="s">
        <v>12</v>
      </c>
    </row>
    <row r="38" spans="1:8" ht="14.4" x14ac:dyDescent="0.3">
      <c r="A38" s="808">
        <v>9</v>
      </c>
      <c r="B38" s="781" t="s">
        <v>300</v>
      </c>
      <c r="C38" s="781">
        <v>123.128</v>
      </c>
      <c r="D38" s="781">
        <v>1300.7360000000001</v>
      </c>
    </row>
    <row r="39" spans="1:8" ht="14.4" x14ac:dyDescent="0.3">
      <c r="A39" s="780"/>
      <c r="B39" s="781" t="s">
        <v>301</v>
      </c>
      <c r="C39" s="781">
        <v>123.128</v>
      </c>
      <c r="D39" s="781">
        <v>163.40700000000001</v>
      </c>
    </row>
    <row r="41" spans="1:8" ht="14.4" x14ac:dyDescent="0.3">
      <c r="B41" s="780"/>
      <c r="C41" s="807" t="s">
        <v>297</v>
      </c>
      <c r="D41" s="807" t="s">
        <v>12</v>
      </c>
    </row>
    <row r="42" spans="1:8" ht="14.4" x14ac:dyDescent="0.3">
      <c r="A42" s="809">
        <v>10</v>
      </c>
      <c r="B42" s="781" t="s">
        <v>300</v>
      </c>
      <c r="C42" s="781">
        <v>125.708</v>
      </c>
      <c r="D42" s="781">
        <v>1431.414</v>
      </c>
    </row>
    <row r="43" spans="1:8" ht="14.4" x14ac:dyDescent="0.3">
      <c r="A43" s="780"/>
      <c r="B43" s="781" t="s">
        <v>301</v>
      </c>
      <c r="C43" s="781">
        <v>125.708</v>
      </c>
      <c r="D43" s="781">
        <v>177.821</v>
      </c>
    </row>
    <row r="45" spans="1:8" ht="14.4" x14ac:dyDescent="0.3">
      <c r="A45" s="810"/>
      <c r="B45" s="810"/>
      <c r="C45" s="810"/>
      <c r="D45" s="810"/>
      <c r="E45" s="811"/>
      <c r="F45" s="811"/>
      <c r="G45" s="811"/>
      <c r="H45" s="811"/>
    </row>
    <row r="46" spans="1:8" ht="14.4" x14ac:dyDescent="0.3">
      <c r="A46" s="780"/>
    </row>
    <row r="47" spans="1:8" ht="14.4" x14ac:dyDescent="0.3">
      <c r="A47" s="786" t="s">
        <v>302</v>
      </c>
      <c r="B47" s="780"/>
      <c r="C47" s="780"/>
      <c r="D47" s="780"/>
    </row>
    <row r="48" spans="1:8" ht="14.4" x14ac:dyDescent="0.3">
      <c r="B48" s="780"/>
      <c r="C48" s="780"/>
      <c r="D48" s="780"/>
    </row>
    <row r="49" spans="1:10" ht="15" thickBot="1" x14ac:dyDescent="0.35">
      <c r="A49" s="807" t="s">
        <v>303</v>
      </c>
      <c r="B49" s="780"/>
      <c r="C49" s="807" t="s">
        <v>297</v>
      </c>
      <c r="D49" s="807" t="s">
        <v>12</v>
      </c>
      <c r="F49" s="781" t="s">
        <v>302</v>
      </c>
      <c r="G49" s="780"/>
      <c r="H49" s="780"/>
      <c r="I49" s="780"/>
    </row>
    <row r="50" spans="1:10" ht="14.4" x14ac:dyDescent="0.3">
      <c r="A50" s="808">
        <v>1</v>
      </c>
      <c r="B50" s="781" t="s">
        <v>300</v>
      </c>
      <c r="C50" s="781">
        <v>283.98700000000002</v>
      </c>
      <c r="D50" s="781">
        <v>8.5999999999999993E-2</v>
      </c>
      <c r="F50" s="782"/>
      <c r="G50" s="787" t="s">
        <v>312</v>
      </c>
      <c r="H50" s="789" t="s">
        <v>299</v>
      </c>
      <c r="I50" s="790" t="s">
        <v>13</v>
      </c>
    </row>
    <row r="51" spans="1:10" ht="15" thickBot="1" x14ac:dyDescent="0.35">
      <c r="A51" s="809"/>
      <c r="B51" s="781" t="s">
        <v>301</v>
      </c>
      <c r="C51" s="781">
        <v>283.98700000000002</v>
      </c>
      <c r="D51" s="781">
        <v>45.564999999999998</v>
      </c>
      <c r="F51" s="782">
        <v>1</v>
      </c>
      <c r="G51" s="788">
        <v>45.564999999999998</v>
      </c>
      <c r="H51" s="793">
        <f>AVERAGE(G51:G60)</f>
        <v>70.0458</v>
      </c>
      <c r="I51" s="794">
        <f>STDEV(G51:G60)/SQRT(COUNT(G51:G60))</f>
        <v>7.1074511039862678</v>
      </c>
    </row>
    <row r="52" spans="1:10" ht="14.4" x14ac:dyDescent="0.3">
      <c r="A52" s="809"/>
      <c r="B52" s="780"/>
      <c r="C52" s="780"/>
      <c r="D52" s="780"/>
      <c r="F52" s="782">
        <v>2</v>
      </c>
      <c r="G52" s="785">
        <v>51.966000000000001</v>
      </c>
      <c r="H52" s="784"/>
      <c r="I52" s="784"/>
    </row>
    <row r="53" spans="1:10" ht="14.4" x14ac:dyDescent="0.3">
      <c r="A53" s="809"/>
      <c r="B53" s="780"/>
      <c r="C53" s="807" t="s">
        <v>297</v>
      </c>
      <c r="D53" s="807" t="s">
        <v>12</v>
      </c>
      <c r="F53" s="782">
        <v>3</v>
      </c>
      <c r="G53" s="785">
        <v>103.675</v>
      </c>
      <c r="H53" s="784"/>
      <c r="I53" s="784"/>
    </row>
    <row r="54" spans="1:10" ht="14.4" x14ac:dyDescent="0.3">
      <c r="A54" s="808">
        <v>2</v>
      </c>
      <c r="B54" s="781" t="s">
        <v>300</v>
      </c>
      <c r="C54" s="781">
        <v>139.839</v>
      </c>
      <c r="D54" s="781">
        <v>3.7999999999999999E-2</v>
      </c>
      <c r="F54" s="782">
        <v>4</v>
      </c>
      <c r="G54" s="785">
        <v>92.863</v>
      </c>
      <c r="H54" s="784"/>
      <c r="I54" s="784"/>
    </row>
    <row r="55" spans="1:10" ht="14.4" x14ac:dyDescent="0.3">
      <c r="A55" s="809"/>
      <c r="B55" s="781" t="s">
        <v>301</v>
      </c>
      <c r="C55" s="781">
        <v>139.839</v>
      </c>
      <c r="D55" s="781">
        <v>51.966000000000001</v>
      </c>
      <c r="F55" s="782">
        <v>5</v>
      </c>
      <c r="G55" s="785">
        <v>85</v>
      </c>
      <c r="H55" s="784"/>
      <c r="I55" s="784"/>
    </row>
    <row r="56" spans="1:10" ht="14.4" x14ac:dyDescent="0.3">
      <c r="A56" s="809"/>
      <c r="F56" s="782">
        <v>6</v>
      </c>
      <c r="G56" s="785">
        <v>97.992000000000004</v>
      </c>
      <c r="H56" s="784"/>
      <c r="I56" s="784"/>
    </row>
    <row r="57" spans="1:10" ht="14.4" x14ac:dyDescent="0.3">
      <c r="A57" s="809"/>
      <c r="B57" s="780"/>
      <c r="C57" s="807" t="s">
        <v>297</v>
      </c>
      <c r="D57" s="807" t="s">
        <v>12</v>
      </c>
      <c r="F57" s="782">
        <v>7</v>
      </c>
      <c r="G57" s="785">
        <v>50.058999999999997</v>
      </c>
      <c r="H57" s="784"/>
      <c r="I57" s="784"/>
    </row>
    <row r="58" spans="1:10" ht="14.4" x14ac:dyDescent="0.3">
      <c r="A58" s="808">
        <v>3</v>
      </c>
      <c r="B58" s="781" t="s">
        <v>300</v>
      </c>
      <c r="C58" s="781">
        <v>145.40600000000001</v>
      </c>
      <c r="D58" s="781">
        <v>1.7999999999999999E-2</v>
      </c>
      <c r="F58" s="782">
        <v>8</v>
      </c>
      <c r="G58" s="785">
        <v>51.607999999999997</v>
      </c>
      <c r="H58" s="784"/>
      <c r="I58" s="784"/>
    </row>
    <row r="59" spans="1:10" ht="14.4" x14ac:dyDescent="0.3">
      <c r="A59" s="809"/>
      <c r="B59" s="781" t="s">
        <v>301</v>
      </c>
      <c r="C59" s="781">
        <v>145.40600000000001</v>
      </c>
      <c r="D59" s="781">
        <v>103.675</v>
      </c>
      <c r="E59" s="781"/>
      <c r="F59" s="782">
        <v>9</v>
      </c>
      <c r="G59" s="785">
        <v>55.57</v>
      </c>
      <c r="H59" s="784"/>
      <c r="I59" s="784"/>
      <c r="J59" s="781"/>
    </row>
    <row r="60" spans="1:10" ht="14.4" x14ac:dyDescent="0.3">
      <c r="A60" s="809"/>
      <c r="F60" s="782">
        <v>10</v>
      </c>
      <c r="G60" s="785">
        <v>66.16</v>
      </c>
      <c r="H60" s="784"/>
      <c r="I60" s="784"/>
    </row>
    <row r="61" spans="1:10" ht="14.4" x14ac:dyDescent="0.3">
      <c r="A61" s="809"/>
      <c r="B61" s="780"/>
      <c r="C61" s="807" t="s">
        <v>297</v>
      </c>
      <c r="D61" s="807" t="s">
        <v>12</v>
      </c>
      <c r="E61" s="780"/>
      <c r="F61" s="780"/>
      <c r="G61" s="780"/>
      <c r="H61" s="780"/>
      <c r="I61" s="780"/>
      <c r="J61" s="780"/>
    </row>
    <row r="62" spans="1:10" ht="14.4" x14ac:dyDescent="0.3">
      <c r="A62" s="808">
        <v>4</v>
      </c>
      <c r="B62" s="781" t="s">
        <v>300</v>
      </c>
      <c r="C62" s="781">
        <v>152.69999999999999</v>
      </c>
      <c r="D62" s="781">
        <v>4.9000000000000002E-2</v>
      </c>
      <c r="E62" s="780"/>
      <c r="F62" s="780"/>
    </row>
    <row r="63" spans="1:10" ht="14.4" x14ac:dyDescent="0.3">
      <c r="A63" s="809"/>
      <c r="B63" s="781" t="s">
        <v>301</v>
      </c>
      <c r="C63" s="781">
        <v>152.69999999999999</v>
      </c>
      <c r="D63" s="781">
        <v>92.863</v>
      </c>
      <c r="E63" s="780"/>
      <c r="F63" s="780"/>
    </row>
    <row r="64" spans="1:10" ht="14.4" x14ac:dyDescent="0.3">
      <c r="A64" s="809"/>
      <c r="E64" s="780"/>
      <c r="F64" s="780"/>
    </row>
    <row r="65" spans="1:17" ht="14.4" x14ac:dyDescent="0.3">
      <c r="A65" s="809"/>
      <c r="B65" s="780"/>
      <c r="C65" s="807" t="s">
        <v>297</v>
      </c>
      <c r="D65" s="807" t="s">
        <v>12</v>
      </c>
      <c r="E65" s="780"/>
      <c r="F65" s="780"/>
    </row>
    <row r="66" spans="1:17" ht="14.4" x14ac:dyDescent="0.3">
      <c r="A66" s="808">
        <v>5</v>
      </c>
      <c r="B66" s="781" t="s">
        <v>300</v>
      </c>
      <c r="C66" s="781">
        <v>169.85599999999999</v>
      </c>
      <c r="D66" s="781">
        <v>0.13200000000000001</v>
      </c>
      <c r="E66" s="780"/>
      <c r="F66" s="780"/>
    </row>
    <row r="67" spans="1:17" ht="14.4" x14ac:dyDescent="0.3">
      <c r="A67" s="809"/>
      <c r="B67" s="781" t="s">
        <v>301</v>
      </c>
      <c r="C67" s="781">
        <v>169.85599999999999</v>
      </c>
      <c r="D67" s="781">
        <v>85</v>
      </c>
      <c r="E67" s="780"/>
      <c r="F67" s="780"/>
    </row>
    <row r="68" spans="1:17" ht="14.4" x14ac:dyDescent="0.3">
      <c r="A68" s="809"/>
      <c r="E68" s="780"/>
      <c r="F68" s="780"/>
    </row>
    <row r="69" spans="1:17" ht="14.4" x14ac:dyDescent="0.3">
      <c r="A69" s="809"/>
      <c r="B69" s="780"/>
      <c r="C69" s="807" t="s">
        <v>297</v>
      </c>
      <c r="D69" s="807" t="s">
        <v>12</v>
      </c>
      <c r="E69" s="780"/>
      <c r="F69" s="780"/>
    </row>
    <row r="70" spans="1:17" ht="14.4" x14ac:dyDescent="0.3">
      <c r="A70" s="808">
        <v>6</v>
      </c>
      <c r="B70" s="781" t="s">
        <v>300</v>
      </c>
      <c r="C70" s="781">
        <v>248.55699999999999</v>
      </c>
      <c r="D70" s="781">
        <v>0.02</v>
      </c>
      <c r="E70" s="780"/>
      <c r="F70" s="780"/>
    </row>
    <row r="71" spans="1:17" ht="14.4" x14ac:dyDescent="0.3">
      <c r="A71" s="809"/>
      <c r="B71" s="781" t="s">
        <v>301</v>
      </c>
      <c r="C71" s="781">
        <v>248.55699999999999</v>
      </c>
      <c r="D71" s="781">
        <v>97.992000000000004</v>
      </c>
      <c r="E71" s="780"/>
      <c r="F71" s="780"/>
    </row>
    <row r="72" spans="1:17" ht="14.4" x14ac:dyDescent="0.3">
      <c r="A72" s="809"/>
      <c r="E72" s="780"/>
      <c r="F72" s="780"/>
    </row>
    <row r="73" spans="1:17" ht="14.4" x14ac:dyDescent="0.3">
      <c r="A73" s="809"/>
      <c r="B73" s="780"/>
      <c r="C73" s="807" t="s">
        <v>297</v>
      </c>
      <c r="D73" s="807" t="s">
        <v>12</v>
      </c>
      <c r="E73" s="780"/>
      <c r="F73" s="780"/>
    </row>
    <row r="74" spans="1:17" ht="14.4" x14ac:dyDescent="0.3">
      <c r="A74" s="808">
        <v>7</v>
      </c>
      <c r="B74" s="781" t="s">
        <v>300</v>
      </c>
      <c r="C74" s="781">
        <v>409.37700000000001</v>
      </c>
      <c r="D74" s="783">
        <v>1.552E-4</v>
      </c>
    </row>
    <row r="75" spans="1:17" ht="14.4" x14ac:dyDescent="0.3">
      <c r="A75" s="809"/>
      <c r="B75" s="781" t="s">
        <v>301</v>
      </c>
      <c r="C75" s="781">
        <v>409.37700000000001</v>
      </c>
      <c r="D75" s="781">
        <v>50.058999999999997</v>
      </c>
      <c r="E75" s="780"/>
      <c r="F75" s="780"/>
      <c r="G75" s="780"/>
      <c r="H75" s="780"/>
      <c r="I75" s="780"/>
      <c r="J75" s="780"/>
      <c r="K75" s="780"/>
      <c r="L75" s="780"/>
      <c r="M75" s="780"/>
      <c r="N75" s="780"/>
      <c r="O75" s="780"/>
      <c r="P75" s="780"/>
      <c r="Q75" s="780"/>
    </row>
    <row r="76" spans="1:17" ht="14.4" x14ac:dyDescent="0.3">
      <c r="A76" s="809"/>
      <c r="E76" s="780"/>
      <c r="F76" s="780"/>
      <c r="G76" s="780"/>
      <c r="H76" s="784"/>
      <c r="I76" s="784"/>
      <c r="J76" s="784"/>
      <c r="K76" s="784"/>
      <c r="L76" s="784"/>
      <c r="M76" s="784"/>
      <c r="N76" s="784"/>
      <c r="O76" s="784"/>
      <c r="P76" s="784"/>
      <c r="Q76" s="784"/>
    </row>
    <row r="77" spans="1:17" ht="14.4" x14ac:dyDescent="0.3">
      <c r="A77" s="809"/>
      <c r="B77" s="780"/>
      <c r="C77" s="807" t="s">
        <v>297</v>
      </c>
      <c r="D77" s="807" t="s">
        <v>12</v>
      </c>
      <c r="E77" s="780"/>
      <c r="F77" s="780"/>
      <c r="G77" s="780"/>
      <c r="H77" s="780"/>
      <c r="I77" s="780"/>
      <c r="J77" s="780"/>
      <c r="K77" s="780"/>
      <c r="L77" s="780"/>
      <c r="M77" s="780"/>
      <c r="N77" s="780"/>
      <c r="O77" s="780"/>
      <c r="P77" s="780"/>
      <c r="Q77" s="780"/>
    </row>
    <row r="78" spans="1:17" ht="14.4" x14ac:dyDescent="0.3">
      <c r="A78" s="808">
        <v>8</v>
      </c>
      <c r="B78" s="781" t="s">
        <v>300</v>
      </c>
      <c r="C78" s="781">
        <v>275.67599999999999</v>
      </c>
      <c r="D78" s="781">
        <v>0</v>
      </c>
      <c r="E78" s="780"/>
      <c r="F78" s="780"/>
      <c r="G78" s="780"/>
      <c r="H78" s="780"/>
      <c r="I78" s="780"/>
      <c r="J78" s="780"/>
      <c r="K78" s="780"/>
      <c r="L78" s="780"/>
      <c r="M78" s="780"/>
      <c r="N78" s="780"/>
      <c r="O78" s="780"/>
      <c r="P78" s="780"/>
      <c r="Q78" s="780"/>
    </row>
    <row r="79" spans="1:17" ht="14.4" x14ac:dyDescent="0.3">
      <c r="A79" s="809"/>
      <c r="B79" s="781" t="s">
        <v>301</v>
      </c>
      <c r="C79" s="781">
        <v>275.67599999999999</v>
      </c>
      <c r="D79" s="781">
        <v>51.607999999999997</v>
      </c>
      <c r="E79" s="780"/>
      <c r="F79" s="780"/>
      <c r="G79" s="780"/>
      <c r="H79" s="780"/>
      <c r="I79" s="780"/>
      <c r="J79" s="780"/>
      <c r="K79" s="780"/>
      <c r="L79" s="780"/>
      <c r="M79" s="780"/>
      <c r="N79" s="780"/>
      <c r="O79" s="780"/>
      <c r="P79" s="780"/>
      <c r="Q79" s="780"/>
    </row>
    <row r="80" spans="1:17" ht="14.4" x14ac:dyDescent="0.25">
      <c r="A80" s="809"/>
    </row>
    <row r="81" spans="1:17" ht="14.4" x14ac:dyDescent="0.3">
      <c r="A81" s="809"/>
      <c r="B81" s="780"/>
      <c r="C81" s="807" t="s">
        <v>297</v>
      </c>
      <c r="D81" s="807" t="s">
        <v>12</v>
      </c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0"/>
      <c r="P81" s="780"/>
      <c r="Q81" s="780"/>
    </row>
    <row r="82" spans="1:17" ht="14.4" x14ac:dyDescent="0.3">
      <c r="A82" s="808">
        <v>9</v>
      </c>
      <c r="B82" s="781" t="s">
        <v>300</v>
      </c>
      <c r="C82" s="781">
        <v>329.113</v>
      </c>
      <c r="D82" s="781">
        <v>3.0000000000000001E-3</v>
      </c>
      <c r="E82" s="780"/>
      <c r="F82" s="780"/>
      <c r="G82" s="780"/>
      <c r="H82" s="780"/>
      <c r="I82" s="780"/>
      <c r="J82" s="780"/>
      <c r="K82" s="780"/>
      <c r="L82" s="780"/>
      <c r="M82" s="780"/>
      <c r="N82" s="780"/>
      <c r="O82" s="780"/>
      <c r="P82" s="780"/>
      <c r="Q82" s="780"/>
    </row>
    <row r="83" spans="1:17" ht="14.4" x14ac:dyDescent="0.3">
      <c r="A83" s="809"/>
      <c r="B83" s="781" t="s">
        <v>301</v>
      </c>
      <c r="C83" s="781">
        <v>329.113</v>
      </c>
      <c r="D83" s="781">
        <v>55.57</v>
      </c>
      <c r="E83" s="780"/>
      <c r="F83" s="780"/>
      <c r="G83" s="780"/>
      <c r="H83" s="780"/>
      <c r="I83" s="780"/>
      <c r="J83" s="780"/>
      <c r="K83" s="780"/>
      <c r="L83" s="780"/>
      <c r="M83" s="780"/>
      <c r="N83" s="780"/>
      <c r="O83" s="780"/>
      <c r="P83" s="780"/>
      <c r="Q83" s="780"/>
    </row>
    <row r="84" spans="1:17" ht="14.4" x14ac:dyDescent="0.3">
      <c r="A84" s="809"/>
      <c r="E84" s="780"/>
      <c r="F84" s="780"/>
      <c r="G84" s="780"/>
      <c r="H84" s="780"/>
      <c r="I84" s="780"/>
      <c r="J84" s="780"/>
      <c r="K84" s="780"/>
      <c r="L84" s="780"/>
      <c r="M84" s="780"/>
      <c r="N84" s="780"/>
      <c r="O84" s="780"/>
      <c r="P84" s="780"/>
      <c r="Q84" s="780"/>
    </row>
    <row r="85" spans="1:17" ht="14.4" x14ac:dyDescent="0.3">
      <c r="A85" s="809"/>
      <c r="B85" s="780"/>
      <c r="C85" s="807" t="s">
        <v>297</v>
      </c>
      <c r="D85" s="807" t="s">
        <v>12</v>
      </c>
      <c r="E85" s="780"/>
      <c r="F85" s="780"/>
      <c r="G85" s="780"/>
      <c r="H85" s="780"/>
      <c r="I85" s="780"/>
      <c r="J85" s="780"/>
      <c r="K85" s="780"/>
      <c r="L85" s="780"/>
      <c r="M85" s="780"/>
      <c r="N85" s="780"/>
      <c r="O85" s="780"/>
      <c r="P85" s="780"/>
      <c r="Q85" s="780"/>
    </row>
    <row r="86" spans="1:17" ht="14.4" x14ac:dyDescent="0.3">
      <c r="A86" s="808">
        <v>10</v>
      </c>
      <c r="B86" s="781" t="s">
        <v>300</v>
      </c>
      <c r="C86" s="781">
        <v>219.697</v>
      </c>
      <c r="D86" s="781">
        <v>1.9E-2</v>
      </c>
    </row>
    <row r="87" spans="1:17" ht="14.4" x14ac:dyDescent="0.3">
      <c r="B87" s="781" t="s">
        <v>301</v>
      </c>
      <c r="C87" s="781">
        <v>219.697</v>
      </c>
      <c r="D87" s="781">
        <v>66.16</v>
      </c>
      <c r="E87" s="780"/>
      <c r="F87" s="780"/>
      <c r="G87" s="780"/>
      <c r="H87" s="780"/>
      <c r="I87" s="780"/>
      <c r="J87" s="780"/>
      <c r="K87" s="780"/>
      <c r="L87" s="780"/>
      <c r="M87" s="780"/>
      <c r="N87" s="780"/>
      <c r="O87" s="780"/>
      <c r="P87" s="780"/>
      <c r="Q87" s="780"/>
    </row>
    <row r="88" spans="1:17" ht="14.4" x14ac:dyDescent="0.3">
      <c r="E88" s="780"/>
      <c r="F88" s="780"/>
      <c r="G88" s="780"/>
      <c r="H88" s="780"/>
      <c r="I88" s="780"/>
      <c r="J88" s="780"/>
      <c r="K88" s="780"/>
      <c r="L88" s="780"/>
      <c r="M88" s="780"/>
      <c r="N88" s="780"/>
      <c r="O88" s="780"/>
      <c r="P88" s="780"/>
      <c r="Q88" s="780"/>
    </row>
    <row r="89" spans="1:17" ht="14.4" x14ac:dyDescent="0.3">
      <c r="E89" s="780"/>
      <c r="F89" s="780"/>
      <c r="G89" s="780"/>
      <c r="H89" s="780"/>
      <c r="I89" s="780"/>
      <c r="J89" s="780"/>
      <c r="K89" s="780"/>
      <c r="L89" s="780"/>
      <c r="M89" s="780"/>
      <c r="N89" s="780"/>
      <c r="O89" s="780"/>
      <c r="P89" s="780"/>
      <c r="Q89" s="780"/>
    </row>
    <row r="90" spans="1:17" ht="14.4" x14ac:dyDescent="0.3">
      <c r="A90" s="780"/>
      <c r="E90" s="780"/>
      <c r="F90" s="780"/>
      <c r="G90" s="780"/>
      <c r="H90" s="780"/>
      <c r="I90" s="780"/>
      <c r="J90" s="780"/>
      <c r="K90" s="780"/>
      <c r="L90" s="780"/>
      <c r="M90" s="780"/>
      <c r="N90" s="780"/>
      <c r="O90" s="780"/>
      <c r="P90" s="780"/>
      <c r="Q90" s="780"/>
    </row>
    <row r="91" spans="1:17" ht="14.4" x14ac:dyDescent="0.3">
      <c r="A91" s="780"/>
    </row>
    <row r="92" spans="1:17" ht="14.4" x14ac:dyDescent="0.3">
      <c r="A92" s="780"/>
    </row>
    <row r="93" spans="1:17" ht="14.4" x14ac:dyDescent="0.3">
      <c r="A93" s="780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2F3A7-B70C-488B-84C8-1DEEB149B29B}">
  <dimension ref="A1:X220"/>
  <sheetViews>
    <sheetView topLeftCell="A23" workbookViewId="0">
      <selection activeCell="G7" sqref="G7:G33"/>
    </sheetView>
  </sheetViews>
  <sheetFormatPr defaultRowHeight="13.2" x14ac:dyDescent="0.25"/>
  <cols>
    <col min="1" max="1" width="14" customWidth="1"/>
    <col min="2" max="2" width="9.77734375" customWidth="1"/>
    <col min="3" max="3" width="10.21875" bestFit="1" customWidth="1"/>
    <col min="4" max="4" width="18.77734375" customWidth="1"/>
    <col min="5" max="5" width="8.77734375" bestFit="1" customWidth="1"/>
    <col min="6" max="8" width="9.44140625" bestFit="1" customWidth="1"/>
    <col min="9" max="9" width="16" customWidth="1"/>
    <col min="10" max="10" width="18.21875" customWidth="1"/>
    <col min="13" max="13" width="17.21875" customWidth="1"/>
    <col min="14" max="14" width="12.21875" customWidth="1"/>
    <col min="15" max="15" width="14.77734375" customWidth="1"/>
    <col min="16" max="16" width="10.21875" customWidth="1"/>
    <col min="17" max="17" width="10.77734375" customWidth="1"/>
    <col min="19" max="19" width="14.77734375" customWidth="1"/>
    <col min="257" max="257" width="14" customWidth="1"/>
    <col min="258" max="258" width="9.77734375" customWidth="1"/>
    <col min="259" max="259" width="10.21875" bestFit="1" customWidth="1"/>
    <col min="260" max="260" width="18.44140625" customWidth="1"/>
    <col min="269" max="269" width="17.21875" customWidth="1"/>
    <col min="270" max="270" width="12.21875" customWidth="1"/>
    <col min="271" max="271" width="14.77734375" customWidth="1"/>
    <col min="272" max="272" width="10.21875" customWidth="1"/>
    <col min="273" max="273" width="10.77734375" customWidth="1"/>
    <col min="275" max="275" width="14.77734375" customWidth="1"/>
    <col min="513" max="513" width="14" customWidth="1"/>
    <col min="514" max="514" width="9.77734375" customWidth="1"/>
    <col min="515" max="515" width="10.21875" bestFit="1" customWidth="1"/>
    <col min="516" max="516" width="18.44140625" customWidth="1"/>
    <col min="525" max="525" width="17.21875" customWidth="1"/>
    <col min="526" max="526" width="12.21875" customWidth="1"/>
    <col min="527" max="527" width="14.77734375" customWidth="1"/>
    <col min="528" max="528" width="10.21875" customWidth="1"/>
    <col min="529" max="529" width="10.77734375" customWidth="1"/>
    <col min="531" max="531" width="14.77734375" customWidth="1"/>
    <col min="769" max="769" width="14" customWidth="1"/>
    <col min="770" max="770" width="9.77734375" customWidth="1"/>
    <col min="771" max="771" width="10.21875" bestFit="1" customWidth="1"/>
    <col min="772" max="772" width="18.44140625" customWidth="1"/>
    <col min="781" max="781" width="17.21875" customWidth="1"/>
    <col min="782" max="782" width="12.21875" customWidth="1"/>
    <col min="783" max="783" width="14.77734375" customWidth="1"/>
    <col min="784" max="784" width="10.21875" customWidth="1"/>
    <col min="785" max="785" width="10.77734375" customWidth="1"/>
    <col min="787" max="787" width="14.77734375" customWidth="1"/>
    <col min="1025" max="1025" width="14" customWidth="1"/>
    <col min="1026" max="1026" width="9.77734375" customWidth="1"/>
    <col min="1027" max="1027" width="10.21875" bestFit="1" customWidth="1"/>
    <col min="1028" max="1028" width="18.44140625" customWidth="1"/>
    <col min="1037" max="1037" width="17.21875" customWidth="1"/>
    <col min="1038" max="1038" width="12.21875" customWidth="1"/>
    <col min="1039" max="1039" width="14.77734375" customWidth="1"/>
    <col min="1040" max="1040" width="10.21875" customWidth="1"/>
    <col min="1041" max="1041" width="10.77734375" customWidth="1"/>
    <col min="1043" max="1043" width="14.77734375" customWidth="1"/>
    <col min="1281" max="1281" width="14" customWidth="1"/>
    <col min="1282" max="1282" width="9.77734375" customWidth="1"/>
    <col min="1283" max="1283" width="10.21875" bestFit="1" customWidth="1"/>
    <col min="1284" max="1284" width="18.44140625" customWidth="1"/>
    <col min="1293" max="1293" width="17.21875" customWidth="1"/>
    <col min="1294" max="1294" width="12.21875" customWidth="1"/>
    <col min="1295" max="1295" width="14.77734375" customWidth="1"/>
    <col min="1296" max="1296" width="10.21875" customWidth="1"/>
    <col min="1297" max="1297" width="10.77734375" customWidth="1"/>
    <col min="1299" max="1299" width="14.77734375" customWidth="1"/>
    <col min="1537" max="1537" width="14" customWidth="1"/>
    <col min="1538" max="1538" width="9.77734375" customWidth="1"/>
    <col min="1539" max="1539" width="10.21875" bestFit="1" customWidth="1"/>
    <col min="1540" max="1540" width="18.44140625" customWidth="1"/>
    <col min="1549" max="1549" width="17.21875" customWidth="1"/>
    <col min="1550" max="1550" width="12.21875" customWidth="1"/>
    <col min="1551" max="1551" width="14.77734375" customWidth="1"/>
    <col min="1552" max="1552" width="10.21875" customWidth="1"/>
    <col min="1553" max="1553" width="10.77734375" customWidth="1"/>
    <col min="1555" max="1555" width="14.77734375" customWidth="1"/>
    <col min="1793" max="1793" width="14" customWidth="1"/>
    <col min="1794" max="1794" width="9.77734375" customWidth="1"/>
    <col min="1795" max="1795" width="10.21875" bestFit="1" customWidth="1"/>
    <col min="1796" max="1796" width="18.44140625" customWidth="1"/>
    <col min="1805" max="1805" width="17.21875" customWidth="1"/>
    <col min="1806" max="1806" width="12.21875" customWidth="1"/>
    <col min="1807" max="1807" width="14.77734375" customWidth="1"/>
    <col min="1808" max="1808" width="10.21875" customWidth="1"/>
    <col min="1809" max="1809" width="10.77734375" customWidth="1"/>
    <col min="1811" max="1811" width="14.77734375" customWidth="1"/>
    <col min="2049" max="2049" width="14" customWidth="1"/>
    <col min="2050" max="2050" width="9.77734375" customWidth="1"/>
    <col min="2051" max="2051" width="10.21875" bestFit="1" customWidth="1"/>
    <col min="2052" max="2052" width="18.44140625" customWidth="1"/>
    <col min="2061" max="2061" width="17.21875" customWidth="1"/>
    <col min="2062" max="2062" width="12.21875" customWidth="1"/>
    <col min="2063" max="2063" width="14.77734375" customWidth="1"/>
    <col min="2064" max="2064" width="10.21875" customWidth="1"/>
    <col min="2065" max="2065" width="10.77734375" customWidth="1"/>
    <col min="2067" max="2067" width="14.77734375" customWidth="1"/>
    <col min="2305" max="2305" width="14" customWidth="1"/>
    <col min="2306" max="2306" width="9.77734375" customWidth="1"/>
    <col min="2307" max="2307" width="10.21875" bestFit="1" customWidth="1"/>
    <col min="2308" max="2308" width="18.44140625" customWidth="1"/>
    <col min="2317" max="2317" width="17.21875" customWidth="1"/>
    <col min="2318" max="2318" width="12.21875" customWidth="1"/>
    <col min="2319" max="2319" width="14.77734375" customWidth="1"/>
    <col min="2320" max="2320" width="10.21875" customWidth="1"/>
    <col min="2321" max="2321" width="10.77734375" customWidth="1"/>
    <col min="2323" max="2323" width="14.77734375" customWidth="1"/>
    <col min="2561" max="2561" width="14" customWidth="1"/>
    <col min="2562" max="2562" width="9.77734375" customWidth="1"/>
    <col min="2563" max="2563" width="10.21875" bestFit="1" customWidth="1"/>
    <col min="2564" max="2564" width="18.44140625" customWidth="1"/>
    <col min="2573" max="2573" width="17.21875" customWidth="1"/>
    <col min="2574" max="2574" width="12.21875" customWidth="1"/>
    <col min="2575" max="2575" width="14.77734375" customWidth="1"/>
    <col min="2576" max="2576" width="10.21875" customWidth="1"/>
    <col min="2577" max="2577" width="10.77734375" customWidth="1"/>
    <col min="2579" max="2579" width="14.77734375" customWidth="1"/>
    <col min="2817" max="2817" width="14" customWidth="1"/>
    <col min="2818" max="2818" width="9.77734375" customWidth="1"/>
    <col min="2819" max="2819" width="10.21875" bestFit="1" customWidth="1"/>
    <col min="2820" max="2820" width="18.44140625" customWidth="1"/>
    <col min="2829" max="2829" width="17.21875" customWidth="1"/>
    <col min="2830" max="2830" width="12.21875" customWidth="1"/>
    <col min="2831" max="2831" width="14.77734375" customWidth="1"/>
    <col min="2832" max="2832" width="10.21875" customWidth="1"/>
    <col min="2833" max="2833" width="10.77734375" customWidth="1"/>
    <col min="2835" max="2835" width="14.77734375" customWidth="1"/>
    <col min="3073" max="3073" width="14" customWidth="1"/>
    <col min="3074" max="3074" width="9.77734375" customWidth="1"/>
    <col min="3075" max="3075" width="10.21875" bestFit="1" customWidth="1"/>
    <col min="3076" max="3076" width="18.44140625" customWidth="1"/>
    <col min="3085" max="3085" width="17.21875" customWidth="1"/>
    <col min="3086" max="3086" width="12.21875" customWidth="1"/>
    <col min="3087" max="3087" width="14.77734375" customWidth="1"/>
    <col min="3088" max="3088" width="10.21875" customWidth="1"/>
    <col min="3089" max="3089" width="10.77734375" customWidth="1"/>
    <col min="3091" max="3091" width="14.77734375" customWidth="1"/>
    <col min="3329" max="3329" width="14" customWidth="1"/>
    <col min="3330" max="3330" width="9.77734375" customWidth="1"/>
    <col min="3331" max="3331" width="10.21875" bestFit="1" customWidth="1"/>
    <col min="3332" max="3332" width="18.44140625" customWidth="1"/>
    <col min="3341" max="3341" width="17.21875" customWidth="1"/>
    <col min="3342" max="3342" width="12.21875" customWidth="1"/>
    <col min="3343" max="3343" width="14.77734375" customWidth="1"/>
    <col min="3344" max="3344" width="10.21875" customWidth="1"/>
    <col min="3345" max="3345" width="10.77734375" customWidth="1"/>
    <col min="3347" max="3347" width="14.77734375" customWidth="1"/>
    <col min="3585" max="3585" width="14" customWidth="1"/>
    <col min="3586" max="3586" width="9.77734375" customWidth="1"/>
    <col min="3587" max="3587" width="10.21875" bestFit="1" customWidth="1"/>
    <col min="3588" max="3588" width="18.44140625" customWidth="1"/>
    <col min="3597" max="3597" width="17.21875" customWidth="1"/>
    <col min="3598" max="3598" width="12.21875" customWidth="1"/>
    <col min="3599" max="3599" width="14.77734375" customWidth="1"/>
    <col min="3600" max="3600" width="10.21875" customWidth="1"/>
    <col min="3601" max="3601" width="10.77734375" customWidth="1"/>
    <col min="3603" max="3603" width="14.77734375" customWidth="1"/>
    <col min="3841" max="3841" width="14" customWidth="1"/>
    <col min="3842" max="3842" width="9.77734375" customWidth="1"/>
    <col min="3843" max="3843" width="10.21875" bestFit="1" customWidth="1"/>
    <col min="3844" max="3844" width="18.44140625" customWidth="1"/>
    <col min="3853" max="3853" width="17.21875" customWidth="1"/>
    <col min="3854" max="3854" width="12.21875" customWidth="1"/>
    <col min="3855" max="3855" width="14.77734375" customWidth="1"/>
    <col min="3856" max="3856" width="10.21875" customWidth="1"/>
    <col min="3857" max="3857" width="10.77734375" customWidth="1"/>
    <col min="3859" max="3859" width="14.77734375" customWidth="1"/>
    <col min="4097" max="4097" width="14" customWidth="1"/>
    <col min="4098" max="4098" width="9.77734375" customWidth="1"/>
    <col min="4099" max="4099" width="10.21875" bestFit="1" customWidth="1"/>
    <col min="4100" max="4100" width="18.44140625" customWidth="1"/>
    <col min="4109" max="4109" width="17.21875" customWidth="1"/>
    <col min="4110" max="4110" width="12.21875" customWidth="1"/>
    <col min="4111" max="4111" width="14.77734375" customWidth="1"/>
    <col min="4112" max="4112" width="10.21875" customWidth="1"/>
    <col min="4113" max="4113" width="10.77734375" customWidth="1"/>
    <col min="4115" max="4115" width="14.77734375" customWidth="1"/>
    <col min="4353" max="4353" width="14" customWidth="1"/>
    <col min="4354" max="4354" width="9.77734375" customWidth="1"/>
    <col min="4355" max="4355" width="10.21875" bestFit="1" customWidth="1"/>
    <col min="4356" max="4356" width="18.44140625" customWidth="1"/>
    <col min="4365" max="4365" width="17.21875" customWidth="1"/>
    <col min="4366" max="4366" width="12.21875" customWidth="1"/>
    <col min="4367" max="4367" width="14.77734375" customWidth="1"/>
    <col min="4368" max="4368" width="10.21875" customWidth="1"/>
    <col min="4369" max="4369" width="10.77734375" customWidth="1"/>
    <col min="4371" max="4371" width="14.77734375" customWidth="1"/>
    <col min="4609" max="4609" width="14" customWidth="1"/>
    <col min="4610" max="4610" width="9.77734375" customWidth="1"/>
    <col min="4611" max="4611" width="10.21875" bestFit="1" customWidth="1"/>
    <col min="4612" max="4612" width="18.44140625" customWidth="1"/>
    <col min="4621" max="4621" width="17.21875" customWidth="1"/>
    <col min="4622" max="4622" width="12.21875" customWidth="1"/>
    <col min="4623" max="4623" width="14.77734375" customWidth="1"/>
    <col min="4624" max="4624" width="10.21875" customWidth="1"/>
    <col min="4625" max="4625" width="10.77734375" customWidth="1"/>
    <col min="4627" max="4627" width="14.77734375" customWidth="1"/>
    <col min="4865" max="4865" width="14" customWidth="1"/>
    <col min="4866" max="4866" width="9.77734375" customWidth="1"/>
    <col min="4867" max="4867" width="10.21875" bestFit="1" customWidth="1"/>
    <col min="4868" max="4868" width="18.44140625" customWidth="1"/>
    <col min="4877" max="4877" width="17.21875" customWidth="1"/>
    <col min="4878" max="4878" width="12.21875" customWidth="1"/>
    <col min="4879" max="4879" width="14.77734375" customWidth="1"/>
    <col min="4880" max="4880" width="10.21875" customWidth="1"/>
    <col min="4881" max="4881" width="10.77734375" customWidth="1"/>
    <col min="4883" max="4883" width="14.77734375" customWidth="1"/>
    <col min="5121" max="5121" width="14" customWidth="1"/>
    <col min="5122" max="5122" width="9.77734375" customWidth="1"/>
    <col min="5123" max="5123" width="10.21875" bestFit="1" customWidth="1"/>
    <col min="5124" max="5124" width="18.44140625" customWidth="1"/>
    <col min="5133" max="5133" width="17.21875" customWidth="1"/>
    <col min="5134" max="5134" width="12.21875" customWidth="1"/>
    <col min="5135" max="5135" width="14.77734375" customWidth="1"/>
    <col min="5136" max="5136" width="10.21875" customWidth="1"/>
    <col min="5137" max="5137" width="10.77734375" customWidth="1"/>
    <col min="5139" max="5139" width="14.77734375" customWidth="1"/>
    <col min="5377" max="5377" width="14" customWidth="1"/>
    <col min="5378" max="5378" width="9.77734375" customWidth="1"/>
    <col min="5379" max="5379" width="10.21875" bestFit="1" customWidth="1"/>
    <col min="5380" max="5380" width="18.44140625" customWidth="1"/>
    <col min="5389" max="5389" width="17.21875" customWidth="1"/>
    <col min="5390" max="5390" width="12.21875" customWidth="1"/>
    <col min="5391" max="5391" width="14.77734375" customWidth="1"/>
    <col min="5392" max="5392" width="10.21875" customWidth="1"/>
    <col min="5393" max="5393" width="10.77734375" customWidth="1"/>
    <col min="5395" max="5395" width="14.77734375" customWidth="1"/>
    <col min="5633" max="5633" width="14" customWidth="1"/>
    <col min="5634" max="5634" width="9.77734375" customWidth="1"/>
    <col min="5635" max="5635" width="10.21875" bestFit="1" customWidth="1"/>
    <col min="5636" max="5636" width="18.44140625" customWidth="1"/>
    <col min="5645" max="5645" width="17.21875" customWidth="1"/>
    <col min="5646" max="5646" width="12.21875" customWidth="1"/>
    <col min="5647" max="5647" width="14.77734375" customWidth="1"/>
    <col min="5648" max="5648" width="10.21875" customWidth="1"/>
    <col min="5649" max="5649" width="10.77734375" customWidth="1"/>
    <col min="5651" max="5651" width="14.77734375" customWidth="1"/>
    <col min="5889" max="5889" width="14" customWidth="1"/>
    <col min="5890" max="5890" width="9.77734375" customWidth="1"/>
    <col min="5891" max="5891" width="10.21875" bestFit="1" customWidth="1"/>
    <col min="5892" max="5892" width="18.44140625" customWidth="1"/>
    <col min="5901" max="5901" width="17.21875" customWidth="1"/>
    <col min="5902" max="5902" width="12.21875" customWidth="1"/>
    <col min="5903" max="5903" width="14.77734375" customWidth="1"/>
    <col min="5904" max="5904" width="10.21875" customWidth="1"/>
    <col min="5905" max="5905" width="10.77734375" customWidth="1"/>
    <col min="5907" max="5907" width="14.77734375" customWidth="1"/>
    <col min="6145" max="6145" width="14" customWidth="1"/>
    <col min="6146" max="6146" width="9.77734375" customWidth="1"/>
    <col min="6147" max="6147" width="10.21875" bestFit="1" customWidth="1"/>
    <col min="6148" max="6148" width="18.44140625" customWidth="1"/>
    <col min="6157" max="6157" width="17.21875" customWidth="1"/>
    <col min="6158" max="6158" width="12.21875" customWidth="1"/>
    <col min="6159" max="6159" width="14.77734375" customWidth="1"/>
    <col min="6160" max="6160" width="10.21875" customWidth="1"/>
    <col min="6161" max="6161" width="10.77734375" customWidth="1"/>
    <col min="6163" max="6163" width="14.77734375" customWidth="1"/>
    <col min="6401" max="6401" width="14" customWidth="1"/>
    <col min="6402" max="6402" width="9.77734375" customWidth="1"/>
    <col min="6403" max="6403" width="10.21875" bestFit="1" customWidth="1"/>
    <col min="6404" max="6404" width="18.44140625" customWidth="1"/>
    <col min="6413" max="6413" width="17.21875" customWidth="1"/>
    <col min="6414" max="6414" width="12.21875" customWidth="1"/>
    <col min="6415" max="6415" width="14.77734375" customWidth="1"/>
    <col min="6416" max="6416" width="10.21875" customWidth="1"/>
    <col min="6417" max="6417" width="10.77734375" customWidth="1"/>
    <col min="6419" max="6419" width="14.77734375" customWidth="1"/>
    <col min="6657" max="6657" width="14" customWidth="1"/>
    <col min="6658" max="6658" width="9.77734375" customWidth="1"/>
    <col min="6659" max="6659" width="10.21875" bestFit="1" customWidth="1"/>
    <col min="6660" max="6660" width="18.44140625" customWidth="1"/>
    <col min="6669" max="6669" width="17.21875" customWidth="1"/>
    <col min="6670" max="6670" width="12.21875" customWidth="1"/>
    <col min="6671" max="6671" width="14.77734375" customWidth="1"/>
    <col min="6672" max="6672" width="10.21875" customWidth="1"/>
    <col min="6673" max="6673" width="10.77734375" customWidth="1"/>
    <col min="6675" max="6675" width="14.77734375" customWidth="1"/>
    <col min="6913" max="6913" width="14" customWidth="1"/>
    <col min="6914" max="6914" width="9.77734375" customWidth="1"/>
    <col min="6915" max="6915" width="10.21875" bestFit="1" customWidth="1"/>
    <col min="6916" max="6916" width="18.44140625" customWidth="1"/>
    <col min="6925" max="6925" width="17.21875" customWidth="1"/>
    <col min="6926" max="6926" width="12.21875" customWidth="1"/>
    <col min="6927" max="6927" width="14.77734375" customWidth="1"/>
    <col min="6928" max="6928" width="10.21875" customWidth="1"/>
    <col min="6929" max="6929" width="10.77734375" customWidth="1"/>
    <col min="6931" max="6931" width="14.77734375" customWidth="1"/>
    <col min="7169" max="7169" width="14" customWidth="1"/>
    <col min="7170" max="7170" width="9.77734375" customWidth="1"/>
    <col min="7171" max="7171" width="10.21875" bestFit="1" customWidth="1"/>
    <col min="7172" max="7172" width="18.44140625" customWidth="1"/>
    <col min="7181" max="7181" width="17.21875" customWidth="1"/>
    <col min="7182" max="7182" width="12.21875" customWidth="1"/>
    <col min="7183" max="7183" width="14.77734375" customWidth="1"/>
    <col min="7184" max="7184" width="10.21875" customWidth="1"/>
    <col min="7185" max="7185" width="10.77734375" customWidth="1"/>
    <col min="7187" max="7187" width="14.77734375" customWidth="1"/>
    <col min="7425" max="7425" width="14" customWidth="1"/>
    <col min="7426" max="7426" width="9.77734375" customWidth="1"/>
    <col min="7427" max="7427" width="10.21875" bestFit="1" customWidth="1"/>
    <col min="7428" max="7428" width="18.44140625" customWidth="1"/>
    <col min="7437" max="7437" width="17.21875" customWidth="1"/>
    <col min="7438" max="7438" width="12.21875" customWidth="1"/>
    <col min="7439" max="7439" width="14.77734375" customWidth="1"/>
    <col min="7440" max="7440" width="10.21875" customWidth="1"/>
    <col min="7441" max="7441" width="10.77734375" customWidth="1"/>
    <col min="7443" max="7443" width="14.77734375" customWidth="1"/>
    <col min="7681" max="7681" width="14" customWidth="1"/>
    <col min="7682" max="7682" width="9.77734375" customWidth="1"/>
    <col min="7683" max="7683" width="10.21875" bestFit="1" customWidth="1"/>
    <col min="7684" max="7684" width="18.44140625" customWidth="1"/>
    <col min="7693" max="7693" width="17.21875" customWidth="1"/>
    <col min="7694" max="7694" width="12.21875" customWidth="1"/>
    <col min="7695" max="7695" width="14.77734375" customWidth="1"/>
    <col min="7696" max="7696" width="10.21875" customWidth="1"/>
    <col min="7697" max="7697" width="10.77734375" customWidth="1"/>
    <col min="7699" max="7699" width="14.77734375" customWidth="1"/>
    <col min="7937" max="7937" width="14" customWidth="1"/>
    <col min="7938" max="7938" width="9.77734375" customWidth="1"/>
    <col min="7939" max="7939" width="10.21875" bestFit="1" customWidth="1"/>
    <col min="7940" max="7940" width="18.44140625" customWidth="1"/>
    <col min="7949" max="7949" width="17.21875" customWidth="1"/>
    <col min="7950" max="7950" width="12.21875" customWidth="1"/>
    <col min="7951" max="7951" width="14.77734375" customWidth="1"/>
    <col min="7952" max="7952" width="10.21875" customWidth="1"/>
    <col min="7953" max="7953" width="10.77734375" customWidth="1"/>
    <col min="7955" max="7955" width="14.77734375" customWidth="1"/>
    <col min="8193" max="8193" width="14" customWidth="1"/>
    <col min="8194" max="8194" width="9.77734375" customWidth="1"/>
    <col min="8195" max="8195" width="10.21875" bestFit="1" customWidth="1"/>
    <col min="8196" max="8196" width="18.44140625" customWidth="1"/>
    <col min="8205" max="8205" width="17.21875" customWidth="1"/>
    <col min="8206" max="8206" width="12.21875" customWidth="1"/>
    <col min="8207" max="8207" width="14.77734375" customWidth="1"/>
    <col min="8208" max="8208" width="10.21875" customWidth="1"/>
    <col min="8209" max="8209" width="10.77734375" customWidth="1"/>
    <col min="8211" max="8211" width="14.77734375" customWidth="1"/>
    <col min="8449" max="8449" width="14" customWidth="1"/>
    <col min="8450" max="8450" width="9.77734375" customWidth="1"/>
    <col min="8451" max="8451" width="10.21875" bestFit="1" customWidth="1"/>
    <col min="8452" max="8452" width="18.44140625" customWidth="1"/>
    <col min="8461" max="8461" width="17.21875" customWidth="1"/>
    <col min="8462" max="8462" width="12.21875" customWidth="1"/>
    <col min="8463" max="8463" width="14.77734375" customWidth="1"/>
    <col min="8464" max="8464" width="10.21875" customWidth="1"/>
    <col min="8465" max="8465" width="10.77734375" customWidth="1"/>
    <col min="8467" max="8467" width="14.77734375" customWidth="1"/>
    <col min="8705" max="8705" width="14" customWidth="1"/>
    <col min="8706" max="8706" width="9.77734375" customWidth="1"/>
    <col min="8707" max="8707" width="10.21875" bestFit="1" customWidth="1"/>
    <col min="8708" max="8708" width="18.44140625" customWidth="1"/>
    <col min="8717" max="8717" width="17.21875" customWidth="1"/>
    <col min="8718" max="8718" width="12.21875" customWidth="1"/>
    <col min="8719" max="8719" width="14.77734375" customWidth="1"/>
    <col min="8720" max="8720" width="10.21875" customWidth="1"/>
    <col min="8721" max="8721" width="10.77734375" customWidth="1"/>
    <col min="8723" max="8723" width="14.77734375" customWidth="1"/>
    <col min="8961" max="8961" width="14" customWidth="1"/>
    <col min="8962" max="8962" width="9.77734375" customWidth="1"/>
    <col min="8963" max="8963" width="10.21875" bestFit="1" customWidth="1"/>
    <col min="8964" max="8964" width="18.44140625" customWidth="1"/>
    <col min="8973" max="8973" width="17.21875" customWidth="1"/>
    <col min="8974" max="8974" width="12.21875" customWidth="1"/>
    <col min="8975" max="8975" width="14.77734375" customWidth="1"/>
    <col min="8976" max="8976" width="10.21875" customWidth="1"/>
    <col min="8977" max="8977" width="10.77734375" customWidth="1"/>
    <col min="8979" max="8979" width="14.77734375" customWidth="1"/>
    <col min="9217" max="9217" width="14" customWidth="1"/>
    <col min="9218" max="9218" width="9.77734375" customWidth="1"/>
    <col min="9219" max="9219" width="10.21875" bestFit="1" customWidth="1"/>
    <col min="9220" max="9220" width="18.44140625" customWidth="1"/>
    <col min="9229" max="9229" width="17.21875" customWidth="1"/>
    <col min="9230" max="9230" width="12.21875" customWidth="1"/>
    <col min="9231" max="9231" width="14.77734375" customWidth="1"/>
    <col min="9232" max="9232" width="10.21875" customWidth="1"/>
    <col min="9233" max="9233" width="10.77734375" customWidth="1"/>
    <col min="9235" max="9235" width="14.77734375" customWidth="1"/>
    <col min="9473" max="9473" width="14" customWidth="1"/>
    <col min="9474" max="9474" width="9.77734375" customWidth="1"/>
    <col min="9475" max="9475" width="10.21875" bestFit="1" customWidth="1"/>
    <col min="9476" max="9476" width="18.44140625" customWidth="1"/>
    <col min="9485" max="9485" width="17.21875" customWidth="1"/>
    <col min="9486" max="9486" width="12.21875" customWidth="1"/>
    <col min="9487" max="9487" width="14.77734375" customWidth="1"/>
    <col min="9488" max="9488" width="10.21875" customWidth="1"/>
    <col min="9489" max="9489" width="10.77734375" customWidth="1"/>
    <col min="9491" max="9491" width="14.77734375" customWidth="1"/>
    <col min="9729" max="9729" width="14" customWidth="1"/>
    <col min="9730" max="9730" width="9.77734375" customWidth="1"/>
    <col min="9731" max="9731" width="10.21875" bestFit="1" customWidth="1"/>
    <col min="9732" max="9732" width="18.44140625" customWidth="1"/>
    <col min="9741" max="9741" width="17.21875" customWidth="1"/>
    <col min="9742" max="9742" width="12.21875" customWidth="1"/>
    <col min="9743" max="9743" width="14.77734375" customWidth="1"/>
    <col min="9744" max="9744" width="10.21875" customWidth="1"/>
    <col min="9745" max="9745" width="10.77734375" customWidth="1"/>
    <col min="9747" max="9747" width="14.77734375" customWidth="1"/>
    <col min="9985" max="9985" width="14" customWidth="1"/>
    <col min="9986" max="9986" width="9.77734375" customWidth="1"/>
    <col min="9987" max="9987" width="10.21875" bestFit="1" customWidth="1"/>
    <col min="9988" max="9988" width="18.44140625" customWidth="1"/>
    <col min="9997" max="9997" width="17.21875" customWidth="1"/>
    <col min="9998" max="9998" width="12.21875" customWidth="1"/>
    <col min="9999" max="9999" width="14.77734375" customWidth="1"/>
    <col min="10000" max="10000" width="10.21875" customWidth="1"/>
    <col min="10001" max="10001" width="10.77734375" customWidth="1"/>
    <col min="10003" max="10003" width="14.77734375" customWidth="1"/>
    <col min="10241" max="10241" width="14" customWidth="1"/>
    <col min="10242" max="10242" width="9.77734375" customWidth="1"/>
    <col min="10243" max="10243" width="10.21875" bestFit="1" customWidth="1"/>
    <col min="10244" max="10244" width="18.44140625" customWidth="1"/>
    <col min="10253" max="10253" width="17.21875" customWidth="1"/>
    <col min="10254" max="10254" width="12.21875" customWidth="1"/>
    <col min="10255" max="10255" width="14.77734375" customWidth="1"/>
    <col min="10256" max="10256" width="10.21875" customWidth="1"/>
    <col min="10257" max="10257" width="10.77734375" customWidth="1"/>
    <col min="10259" max="10259" width="14.77734375" customWidth="1"/>
    <col min="10497" max="10497" width="14" customWidth="1"/>
    <col min="10498" max="10498" width="9.77734375" customWidth="1"/>
    <col min="10499" max="10499" width="10.21875" bestFit="1" customWidth="1"/>
    <col min="10500" max="10500" width="18.44140625" customWidth="1"/>
    <col min="10509" max="10509" width="17.21875" customWidth="1"/>
    <col min="10510" max="10510" width="12.21875" customWidth="1"/>
    <col min="10511" max="10511" width="14.77734375" customWidth="1"/>
    <col min="10512" max="10512" width="10.21875" customWidth="1"/>
    <col min="10513" max="10513" width="10.77734375" customWidth="1"/>
    <col min="10515" max="10515" width="14.77734375" customWidth="1"/>
    <col min="10753" max="10753" width="14" customWidth="1"/>
    <col min="10754" max="10754" width="9.77734375" customWidth="1"/>
    <col min="10755" max="10755" width="10.21875" bestFit="1" customWidth="1"/>
    <col min="10756" max="10756" width="18.44140625" customWidth="1"/>
    <col min="10765" max="10765" width="17.21875" customWidth="1"/>
    <col min="10766" max="10766" width="12.21875" customWidth="1"/>
    <col min="10767" max="10767" width="14.77734375" customWidth="1"/>
    <col min="10768" max="10768" width="10.21875" customWidth="1"/>
    <col min="10769" max="10769" width="10.77734375" customWidth="1"/>
    <col min="10771" max="10771" width="14.77734375" customWidth="1"/>
    <col min="11009" max="11009" width="14" customWidth="1"/>
    <col min="11010" max="11010" width="9.77734375" customWidth="1"/>
    <col min="11011" max="11011" width="10.21875" bestFit="1" customWidth="1"/>
    <col min="11012" max="11012" width="18.44140625" customWidth="1"/>
    <col min="11021" max="11021" width="17.21875" customWidth="1"/>
    <col min="11022" max="11022" width="12.21875" customWidth="1"/>
    <col min="11023" max="11023" width="14.77734375" customWidth="1"/>
    <col min="11024" max="11024" width="10.21875" customWidth="1"/>
    <col min="11025" max="11025" width="10.77734375" customWidth="1"/>
    <col min="11027" max="11027" width="14.77734375" customWidth="1"/>
    <col min="11265" max="11265" width="14" customWidth="1"/>
    <col min="11266" max="11266" width="9.77734375" customWidth="1"/>
    <col min="11267" max="11267" width="10.21875" bestFit="1" customWidth="1"/>
    <col min="11268" max="11268" width="18.44140625" customWidth="1"/>
    <col min="11277" max="11277" width="17.21875" customWidth="1"/>
    <col min="11278" max="11278" width="12.21875" customWidth="1"/>
    <col min="11279" max="11279" width="14.77734375" customWidth="1"/>
    <col min="11280" max="11280" width="10.21875" customWidth="1"/>
    <col min="11281" max="11281" width="10.77734375" customWidth="1"/>
    <col min="11283" max="11283" width="14.77734375" customWidth="1"/>
    <col min="11521" max="11521" width="14" customWidth="1"/>
    <col min="11522" max="11522" width="9.77734375" customWidth="1"/>
    <col min="11523" max="11523" width="10.21875" bestFit="1" customWidth="1"/>
    <col min="11524" max="11524" width="18.44140625" customWidth="1"/>
    <col min="11533" max="11533" width="17.21875" customWidth="1"/>
    <col min="11534" max="11534" width="12.21875" customWidth="1"/>
    <col min="11535" max="11535" width="14.77734375" customWidth="1"/>
    <col min="11536" max="11536" width="10.21875" customWidth="1"/>
    <col min="11537" max="11537" width="10.77734375" customWidth="1"/>
    <col min="11539" max="11539" width="14.77734375" customWidth="1"/>
    <col min="11777" max="11777" width="14" customWidth="1"/>
    <col min="11778" max="11778" width="9.77734375" customWidth="1"/>
    <col min="11779" max="11779" width="10.21875" bestFit="1" customWidth="1"/>
    <col min="11780" max="11780" width="18.44140625" customWidth="1"/>
    <col min="11789" max="11789" width="17.21875" customWidth="1"/>
    <col min="11790" max="11790" width="12.21875" customWidth="1"/>
    <col min="11791" max="11791" width="14.77734375" customWidth="1"/>
    <col min="11792" max="11792" width="10.21875" customWidth="1"/>
    <col min="11793" max="11793" width="10.77734375" customWidth="1"/>
    <col min="11795" max="11795" width="14.77734375" customWidth="1"/>
    <col min="12033" max="12033" width="14" customWidth="1"/>
    <col min="12034" max="12034" width="9.77734375" customWidth="1"/>
    <col min="12035" max="12035" width="10.21875" bestFit="1" customWidth="1"/>
    <col min="12036" max="12036" width="18.44140625" customWidth="1"/>
    <col min="12045" max="12045" width="17.21875" customWidth="1"/>
    <col min="12046" max="12046" width="12.21875" customWidth="1"/>
    <col min="12047" max="12047" width="14.77734375" customWidth="1"/>
    <col min="12048" max="12048" width="10.21875" customWidth="1"/>
    <col min="12049" max="12049" width="10.77734375" customWidth="1"/>
    <col min="12051" max="12051" width="14.77734375" customWidth="1"/>
    <col min="12289" max="12289" width="14" customWidth="1"/>
    <col min="12290" max="12290" width="9.77734375" customWidth="1"/>
    <col min="12291" max="12291" width="10.21875" bestFit="1" customWidth="1"/>
    <col min="12292" max="12292" width="18.44140625" customWidth="1"/>
    <col min="12301" max="12301" width="17.21875" customWidth="1"/>
    <col min="12302" max="12302" width="12.21875" customWidth="1"/>
    <col min="12303" max="12303" width="14.77734375" customWidth="1"/>
    <col min="12304" max="12304" width="10.21875" customWidth="1"/>
    <col min="12305" max="12305" width="10.77734375" customWidth="1"/>
    <col min="12307" max="12307" width="14.77734375" customWidth="1"/>
    <col min="12545" max="12545" width="14" customWidth="1"/>
    <col min="12546" max="12546" width="9.77734375" customWidth="1"/>
    <col min="12547" max="12547" width="10.21875" bestFit="1" customWidth="1"/>
    <col min="12548" max="12548" width="18.44140625" customWidth="1"/>
    <col min="12557" max="12557" width="17.21875" customWidth="1"/>
    <col min="12558" max="12558" width="12.21875" customWidth="1"/>
    <col min="12559" max="12559" width="14.77734375" customWidth="1"/>
    <col min="12560" max="12560" width="10.21875" customWidth="1"/>
    <col min="12561" max="12561" width="10.77734375" customWidth="1"/>
    <col min="12563" max="12563" width="14.77734375" customWidth="1"/>
    <col min="12801" max="12801" width="14" customWidth="1"/>
    <col min="12802" max="12802" width="9.77734375" customWidth="1"/>
    <col min="12803" max="12803" width="10.21875" bestFit="1" customWidth="1"/>
    <col min="12804" max="12804" width="18.44140625" customWidth="1"/>
    <col min="12813" max="12813" width="17.21875" customWidth="1"/>
    <col min="12814" max="12814" width="12.21875" customWidth="1"/>
    <col min="12815" max="12815" width="14.77734375" customWidth="1"/>
    <col min="12816" max="12816" width="10.21875" customWidth="1"/>
    <col min="12817" max="12817" width="10.77734375" customWidth="1"/>
    <col min="12819" max="12819" width="14.77734375" customWidth="1"/>
    <col min="13057" max="13057" width="14" customWidth="1"/>
    <col min="13058" max="13058" width="9.77734375" customWidth="1"/>
    <col min="13059" max="13059" width="10.21875" bestFit="1" customWidth="1"/>
    <col min="13060" max="13060" width="18.44140625" customWidth="1"/>
    <col min="13069" max="13069" width="17.21875" customWidth="1"/>
    <col min="13070" max="13070" width="12.21875" customWidth="1"/>
    <col min="13071" max="13071" width="14.77734375" customWidth="1"/>
    <col min="13072" max="13072" width="10.21875" customWidth="1"/>
    <col min="13073" max="13073" width="10.77734375" customWidth="1"/>
    <col min="13075" max="13075" width="14.77734375" customWidth="1"/>
    <col min="13313" max="13313" width="14" customWidth="1"/>
    <col min="13314" max="13314" width="9.77734375" customWidth="1"/>
    <col min="13315" max="13315" width="10.21875" bestFit="1" customWidth="1"/>
    <col min="13316" max="13316" width="18.44140625" customWidth="1"/>
    <col min="13325" max="13325" width="17.21875" customWidth="1"/>
    <col min="13326" max="13326" width="12.21875" customWidth="1"/>
    <col min="13327" max="13327" width="14.77734375" customWidth="1"/>
    <col min="13328" max="13328" width="10.21875" customWidth="1"/>
    <col min="13329" max="13329" width="10.77734375" customWidth="1"/>
    <col min="13331" max="13331" width="14.77734375" customWidth="1"/>
    <col min="13569" max="13569" width="14" customWidth="1"/>
    <col min="13570" max="13570" width="9.77734375" customWidth="1"/>
    <col min="13571" max="13571" width="10.21875" bestFit="1" customWidth="1"/>
    <col min="13572" max="13572" width="18.44140625" customWidth="1"/>
    <col min="13581" max="13581" width="17.21875" customWidth="1"/>
    <col min="13582" max="13582" width="12.21875" customWidth="1"/>
    <col min="13583" max="13583" width="14.77734375" customWidth="1"/>
    <col min="13584" max="13584" width="10.21875" customWidth="1"/>
    <col min="13585" max="13585" width="10.77734375" customWidth="1"/>
    <col min="13587" max="13587" width="14.77734375" customWidth="1"/>
    <col min="13825" max="13825" width="14" customWidth="1"/>
    <col min="13826" max="13826" width="9.77734375" customWidth="1"/>
    <col min="13827" max="13827" width="10.21875" bestFit="1" customWidth="1"/>
    <col min="13828" max="13828" width="18.44140625" customWidth="1"/>
    <col min="13837" max="13837" width="17.21875" customWidth="1"/>
    <col min="13838" max="13838" width="12.21875" customWidth="1"/>
    <col min="13839" max="13839" width="14.77734375" customWidth="1"/>
    <col min="13840" max="13840" width="10.21875" customWidth="1"/>
    <col min="13841" max="13841" width="10.77734375" customWidth="1"/>
    <col min="13843" max="13843" width="14.77734375" customWidth="1"/>
    <col min="14081" max="14081" width="14" customWidth="1"/>
    <col min="14082" max="14082" width="9.77734375" customWidth="1"/>
    <col min="14083" max="14083" width="10.21875" bestFit="1" customWidth="1"/>
    <col min="14084" max="14084" width="18.44140625" customWidth="1"/>
    <col min="14093" max="14093" width="17.21875" customWidth="1"/>
    <col min="14094" max="14094" width="12.21875" customWidth="1"/>
    <col min="14095" max="14095" width="14.77734375" customWidth="1"/>
    <col min="14096" max="14096" width="10.21875" customWidth="1"/>
    <col min="14097" max="14097" width="10.77734375" customWidth="1"/>
    <col min="14099" max="14099" width="14.77734375" customWidth="1"/>
    <col min="14337" max="14337" width="14" customWidth="1"/>
    <col min="14338" max="14338" width="9.77734375" customWidth="1"/>
    <col min="14339" max="14339" width="10.21875" bestFit="1" customWidth="1"/>
    <col min="14340" max="14340" width="18.44140625" customWidth="1"/>
    <col min="14349" max="14349" width="17.21875" customWidth="1"/>
    <col min="14350" max="14350" width="12.21875" customWidth="1"/>
    <col min="14351" max="14351" width="14.77734375" customWidth="1"/>
    <col min="14352" max="14352" width="10.21875" customWidth="1"/>
    <col min="14353" max="14353" width="10.77734375" customWidth="1"/>
    <col min="14355" max="14355" width="14.77734375" customWidth="1"/>
    <col min="14593" max="14593" width="14" customWidth="1"/>
    <col min="14594" max="14594" width="9.77734375" customWidth="1"/>
    <col min="14595" max="14595" width="10.21875" bestFit="1" customWidth="1"/>
    <col min="14596" max="14596" width="18.44140625" customWidth="1"/>
    <col min="14605" max="14605" width="17.21875" customWidth="1"/>
    <col min="14606" max="14606" width="12.21875" customWidth="1"/>
    <col min="14607" max="14607" width="14.77734375" customWidth="1"/>
    <col min="14608" max="14608" width="10.21875" customWidth="1"/>
    <col min="14609" max="14609" width="10.77734375" customWidth="1"/>
    <col min="14611" max="14611" width="14.77734375" customWidth="1"/>
    <col min="14849" max="14849" width="14" customWidth="1"/>
    <col min="14850" max="14850" width="9.77734375" customWidth="1"/>
    <col min="14851" max="14851" width="10.21875" bestFit="1" customWidth="1"/>
    <col min="14852" max="14852" width="18.44140625" customWidth="1"/>
    <col min="14861" max="14861" width="17.21875" customWidth="1"/>
    <col min="14862" max="14862" width="12.21875" customWidth="1"/>
    <col min="14863" max="14863" width="14.77734375" customWidth="1"/>
    <col min="14864" max="14864" width="10.21875" customWidth="1"/>
    <col min="14865" max="14865" width="10.77734375" customWidth="1"/>
    <col min="14867" max="14867" width="14.77734375" customWidth="1"/>
    <col min="15105" max="15105" width="14" customWidth="1"/>
    <col min="15106" max="15106" width="9.77734375" customWidth="1"/>
    <col min="15107" max="15107" width="10.21875" bestFit="1" customWidth="1"/>
    <col min="15108" max="15108" width="18.44140625" customWidth="1"/>
    <col min="15117" max="15117" width="17.21875" customWidth="1"/>
    <col min="15118" max="15118" width="12.21875" customWidth="1"/>
    <col min="15119" max="15119" width="14.77734375" customWidth="1"/>
    <col min="15120" max="15120" width="10.21875" customWidth="1"/>
    <col min="15121" max="15121" width="10.77734375" customWidth="1"/>
    <col min="15123" max="15123" width="14.77734375" customWidth="1"/>
    <col min="15361" max="15361" width="14" customWidth="1"/>
    <col min="15362" max="15362" width="9.77734375" customWidth="1"/>
    <col min="15363" max="15363" width="10.21875" bestFit="1" customWidth="1"/>
    <col min="15364" max="15364" width="18.44140625" customWidth="1"/>
    <col min="15373" max="15373" width="17.21875" customWidth="1"/>
    <col min="15374" max="15374" width="12.21875" customWidth="1"/>
    <col min="15375" max="15375" width="14.77734375" customWidth="1"/>
    <col min="15376" max="15376" width="10.21875" customWidth="1"/>
    <col min="15377" max="15377" width="10.77734375" customWidth="1"/>
    <col min="15379" max="15379" width="14.77734375" customWidth="1"/>
    <col min="15617" max="15617" width="14" customWidth="1"/>
    <col min="15618" max="15618" width="9.77734375" customWidth="1"/>
    <col min="15619" max="15619" width="10.21875" bestFit="1" customWidth="1"/>
    <col min="15620" max="15620" width="18.44140625" customWidth="1"/>
    <col min="15629" max="15629" width="17.21875" customWidth="1"/>
    <col min="15630" max="15630" width="12.21875" customWidth="1"/>
    <col min="15631" max="15631" width="14.77734375" customWidth="1"/>
    <col min="15632" max="15632" width="10.21875" customWidth="1"/>
    <col min="15633" max="15633" width="10.77734375" customWidth="1"/>
    <col min="15635" max="15635" width="14.77734375" customWidth="1"/>
    <col min="15873" max="15873" width="14" customWidth="1"/>
    <col min="15874" max="15874" width="9.77734375" customWidth="1"/>
    <col min="15875" max="15875" width="10.21875" bestFit="1" customWidth="1"/>
    <col min="15876" max="15876" width="18.44140625" customWidth="1"/>
    <col min="15885" max="15885" width="17.21875" customWidth="1"/>
    <col min="15886" max="15886" width="12.21875" customWidth="1"/>
    <col min="15887" max="15887" width="14.77734375" customWidth="1"/>
    <col min="15888" max="15888" width="10.21875" customWidth="1"/>
    <col min="15889" max="15889" width="10.77734375" customWidth="1"/>
    <col min="15891" max="15891" width="14.77734375" customWidth="1"/>
    <col min="16129" max="16129" width="14" customWidth="1"/>
    <col min="16130" max="16130" width="9.77734375" customWidth="1"/>
    <col min="16131" max="16131" width="10.21875" bestFit="1" customWidth="1"/>
    <col min="16132" max="16132" width="18.44140625" customWidth="1"/>
    <col min="16141" max="16141" width="17.21875" customWidth="1"/>
    <col min="16142" max="16142" width="12.21875" customWidth="1"/>
    <col min="16143" max="16143" width="14.77734375" customWidth="1"/>
    <col min="16144" max="16144" width="10.21875" customWidth="1"/>
    <col min="16145" max="16145" width="10.77734375" customWidth="1"/>
    <col min="16147" max="16147" width="14.77734375" customWidth="1"/>
  </cols>
  <sheetData>
    <row r="1" spans="1:24" x14ac:dyDescent="0.25">
      <c r="A1" s="8"/>
      <c r="B1" s="8"/>
      <c r="S1" s="1"/>
    </row>
    <row r="2" spans="1:24" ht="15.6" x14ac:dyDescent="0.3">
      <c r="A2" s="8"/>
      <c r="B2" s="8"/>
      <c r="C2" s="10"/>
      <c r="D2" s="746"/>
      <c r="K2" s="8"/>
      <c r="S2" s="1"/>
    </row>
    <row r="3" spans="1:24" x14ac:dyDescent="0.25">
      <c r="A3" s="8"/>
      <c r="B3" s="55"/>
      <c r="C3" s="3"/>
      <c r="M3" s="3"/>
      <c r="S3" s="1"/>
    </row>
    <row r="4" spans="1:24" x14ac:dyDescent="0.25">
      <c r="A4" s="8"/>
      <c r="B4" s="55"/>
      <c r="D4" s="5"/>
      <c r="S4" s="1"/>
    </row>
    <row r="5" spans="1:24" ht="13.8" thickBot="1" x14ac:dyDescent="0.3">
      <c r="F5" s="403" t="s">
        <v>6</v>
      </c>
      <c r="G5" s="403" t="s">
        <v>204</v>
      </c>
      <c r="H5" s="403"/>
      <c r="I5" s="403"/>
      <c r="J5" s="403"/>
      <c r="K5" s="403"/>
      <c r="S5" s="1"/>
    </row>
    <row r="6" spans="1:24" x14ac:dyDescent="0.25">
      <c r="A6">
        <v>1.9134</v>
      </c>
      <c r="B6">
        <v>400</v>
      </c>
      <c r="C6" s="24">
        <v>0.25319999999999998</v>
      </c>
      <c r="D6" s="722" t="s">
        <v>271</v>
      </c>
      <c r="E6" s="25"/>
      <c r="F6" s="25"/>
      <c r="G6" s="25"/>
      <c r="H6" s="52"/>
      <c r="Q6" s="723">
        <f>AVERAGE(A6:A9)</f>
        <v>1.6224333333333334</v>
      </c>
      <c r="R6" s="724">
        <v>400</v>
      </c>
      <c r="S6" s="1"/>
      <c r="V6" s="1"/>
      <c r="W6" s="1"/>
      <c r="X6" s="2"/>
    </row>
    <row r="7" spans="1:24" x14ac:dyDescent="0.25">
      <c r="A7">
        <v>1.7850999999999999</v>
      </c>
      <c r="B7">
        <v>400</v>
      </c>
      <c r="C7" s="26">
        <v>0.22919999999999999</v>
      </c>
      <c r="D7" s="725">
        <v>8683</v>
      </c>
      <c r="E7" s="21">
        <f>AVERAGE(C6:C8)</f>
        <v>0.24119999999999997</v>
      </c>
      <c r="F7" s="21">
        <f>219.26*E7 - 23.857</f>
        <v>29.028511999999992</v>
      </c>
      <c r="G7" s="21">
        <f>F7-32.16</f>
        <v>-3.1314880000000045</v>
      </c>
      <c r="H7" s="35"/>
      <c r="Q7" s="726">
        <f>AVERAGE(A10:A13)</f>
        <v>0.78558666666666666</v>
      </c>
      <c r="R7" s="69">
        <v>200</v>
      </c>
      <c r="S7" s="1"/>
      <c r="V7" s="1"/>
      <c r="W7" s="1"/>
      <c r="X7" s="2"/>
    </row>
    <row r="8" spans="1:24" x14ac:dyDescent="0.25">
      <c r="B8">
        <v>400</v>
      </c>
      <c r="C8" s="26"/>
      <c r="D8" s="212"/>
      <c r="E8" s="21"/>
      <c r="F8" s="21"/>
      <c r="G8" s="21"/>
      <c r="H8" s="35"/>
      <c r="Q8" s="726">
        <f>AVERAGE(A14:A17)</f>
        <v>0.35819999999999996</v>
      </c>
      <c r="R8" s="69">
        <v>100</v>
      </c>
      <c r="S8" s="1"/>
      <c r="V8" s="1"/>
      <c r="W8" s="1"/>
      <c r="X8" s="2"/>
    </row>
    <row r="9" spans="1:24" x14ac:dyDescent="0.25">
      <c r="A9">
        <v>1.1688000000000001</v>
      </c>
      <c r="B9">
        <v>200</v>
      </c>
      <c r="C9" s="26">
        <v>0.25850000000000001</v>
      </c>
      <c r="D9" s="725" t="s">
        <v>271</v>
      </c>
      <c r="E9" s="21">
        <f>AVERAGE(C9:C11)</f>
        <v>0.25155</v>
      </c>
      <c r="F9" s="21">
        <f>219.26*E9 - 23.857</f>
        <v>31.297852999999996</v>
      </c>
      <c r="G9" s="21">
        <f>F9-32.16</f>
        <v>-0.86214700000000022</v>
      </c>
      <c r="H9" s="35"/>
      <c r="Q9" s="726">
        <f>AVERAGE(A18:A19)</f>
        <v>0.20450000000000002</v>
      </c>
      <c r="R9" s="69">
        <v>50</v>
      </c>
      <c r="S9" s="1"/>
      <c r="V9" s="1"/>
      <c r="W9" s="1"/>
      <c r="X9" s="2"/>
    </row>
    <row r="10" spans="1:24" ht="15.75" customHeight="1" x14ac:dyDescent="0.25">
      <c r="A10">
        <v>1.0227599999999999</v>
      </c>
      <c r="B10">
        <v>200</v>
      </c>
      <c r="C10" s="26">
        <v>0.24460000000000001</v>
      </c>
      <c r="D10" s="725">
        <v>8646</v>
      </c>
      <c r="E10" s="21"/>
      <c r="F10" s="21"/>
      <c r="G10" s="21"/>
      <c r="H10" s="35"/>
      <c r="Q10" s="726">
        <f>AVERAGE(A21:A24)</f>
        <v>0.13323333333333334</v>
      </c>
      <c r="R10" s="69">
        <v>25</v>
      </c>
      <c r="V10" s="1"/>
      <c r="W10" s="1"/>
      <c r="X10" s="2"/>
    </row>
    <row r="11" spans="1:24" x14ac:dyDescent="0.25">
      <c r="B11">
        <v>200</v>
      </c>
      <c r="C11" s="26"/>
      <c r="D11" s="212"/>
      <c r="E11" s="21"/>
      <c r="F11" s="21"/>
      <c r="G11" s="21"/>
      <c r="H11" s="35"/>
      <c r="Q11" s="726">
        <f>AVERAGE(A25:A26)</f>
        <v>0.11020000000000001</v>
      </c>
      <c r="R11" s="69">
        <v>12.5</v>
      </c>
      <c r="S11" s="1"/>
      <c r="V11" s="1"/>
      <c r="W11" s="1"/>
      <c r="X11" s="2"/>
    </row>
    <row r="12" spans="1:24" x14ac:dyDescent="0.25">
      <c r="A12">
        <v>0.66930000000000001</v>
      </c>
      <c r="B12">
        <v>100</v>
      </c>
      <c r="C12" s="26">
        <v>0.25009999999999999</v>
      </c>
      <c r="D12" s="725" t="s">
        <v>271</v>
      </c>
      <c r="E12" s="21">
        <f>AVERAGE(C12:C14)</f>
        <v>0.254</v>
      </c>
      <c r="F12" s="21">
        <f>219.26*E12 - 23.857</f>
        <v>31.835039999999999</v>
      </c>
      <c r="G12" s="21">
        <f>F12-32.16</f>
        <v>-0.32495999999999725</v>
      </c>
      <c r="H12" s="35"/>
      <c r="Q12" s="726">
        <f>AVERAGE(A28:A31)</f>
        <v>6.59E-2</v>
      </c>
      <c r="R12" s="69">
        <v>6.25</v>
      </c>
      <c r="S12" s="1"/>
      <c r="V12" s="1"/>
      <c r="W12" s="1"/>
      <c r="X12" s="2"/>
    </row>
    <row r="13" spans="1:24" ht="13.8" thickBot="1" x14ac:dyDescent="0.3">
      <c r="A13">
        <v>0.66469999999999996</v>
      </c>
      <c r="B13">
        <v>100</v>
      </c>
      <c r="C13" s="26">
        <v>0.25790000000000002</v>
      </c>
      <c r="D13" s="725">
        <v>8429</v>
      </c>
      <c r="E13" s="21"/>
      <c r="F13" s="21"/>
      <c r="G13" s="21"/>
      <c r="H13" s="35"/>
      <c r="Q13" s="727" t="e">
        <f>AVERAGE(A32:A33)</f>
        <v>#DIV/0!</v>
      </c>
      <c r="R13" s="588">
        <v>0</v>
      </c>
      <c r="S13" s="1"/>
      <c r="T13" s="1"/>
      <c r="V13" s="1"/>
      <c r="W13" s="1"/>
      <c r="X13" s="2"/>
    </row>
    <row r="14" spans="1:24" x14ac:dyDescent="0.25">
      <c r="B14">
        <v>100</v>
      </c>
      <c r="C14" s="26"/>
      <c r="D14" s="212"/>
      <c r="E14" s="21"/>
      <c r="F14" s="21"/>
      <c r="G14" s="21"/>
      <c r="H14" s="35"/>
      <c r="S14" s="1"/>
      <c r="V14" s="1"/>
      <c r="W14" s="1"/>
      <c r="X14" s="2"/>
    </row>
    <row r="15" spans="1:24" x14ac:dyDescent="0.25">
      <c r="A15">
        <v>0.38300000000000001</v>
      </c>
      <c r="B15">
        <v>50</v>
      </c>
      <c r="C15" s="26">
        <v>0.27810000000000001</v>
      </c>
      <c r="D15" s="725" t="s">
        <v>271</v>
      </c>
      <c r="E15" s="21">
        <f>AVERAGE(C15:C17)</f>
        <v>0.19625000000000001</v>
      </c>
      <c r="F15" s="21">
        <f>219.26*E15 - 23.857</f>
        <v>19.172775000000001</v>
      </c>
      <c r="G15" s="21">
        <f>F15-32.16</f>
        <v>-12.987224999999995</v>
      </c>
      <c r="H15" s="35"/>
      <c r="S15" s="1"/>
      <c r="T15" s="1"/>
      <c r="V15" s="1"/>
      <c r="W15" s="1"/>
      <c r="X15" s="2"/>
    </row>
    <row r="16" spans="1:24" x14ac:dyDescent="0.25">
      <c r="A16">
        <v>0.33339999999999997</v>
      </c>
      <c r="B16">
        <v>50</v>
      </c>
      <c r="C16" s="26">
        <v>0.1144</v>
      </c>
      <c r="D16" s="725"/>
      <c r="E16" s="21"/>
      <c r="F16" s="21"/>
      <c r="G16" s="21"/>
      <c r="H16" s="35"/>
      <c r="S16" s="1"/>
      <c r="T16" s="1"/>
      <c r="V16" s="1"/>
      <c r="W16" s="1"/>
      <c r="X16" s="2"/>
    </row>
    <row r="17" spans="1:24" x14ac:dyDescent="0.25">
      <c r="B17">
        <v>50</v>
      </c>
      <c r="C17" s="26"/>
      <c r="D17" s="212">
        <v>8428</v>
      </c>
      <c r="E17" s="21"/>
      <c r="F17" s="21"/>
      <c r="G17" s="21"/>
      <c r="H17" s="35"/>
      <c r="S17" s="1"/>
      <c r="V17" s="1"/>
      <c r="W17" s="1"/>
      <c r="X17" s="2"/>
    </row>
    <row r="18" spans="1:24" x14ac:dyDescent="0.25">
      <c r="A18">
        <v>0.1908</v>
      </c>
      <c r="B18">
        <v>25</v>
      </c>
      <c r="C18" s="26">
        <v>0.22720000000000001</v>
      </c>
      <c r="D18" s="725" t="s">
        <v>271</v>
      </c>
      <c r="E18" s="21">
        <f>AVERAGE(C18:C20)</f>
        <v>0.2429</v>
      </c>
      <c r="F18" s="21">
        <f>219.26*E18 - 23.857</f>
        <v>29.401254000000002</v>
      </c>
      <c r="G18" s="21">
        <f>F18-32.16</f>
        <v>-2.758745999999995</v>
      </c>
      <c r="H18" s="35"/>
      <c r="S18" s="1"/>
      <c r="T18" s="1"/>
      <c r="V18" s="1"/>
      <c r="W18" s="1"/>
      <c r="X18" s="2"/>
    </row>
    <row r="19" spans="1:24" x14ac:dyDescent="0.25">
      <c r="A19">
        <v>0.21820000000000001</v>
      </c>
      <c r="B19">
        <v>25</v>
      </c>
      <c r="C19" s="26">
        <v>0.2586</v>
      </c>
      <c r="D19" s="725" t="s">
        <v>272</v>
      </c>
      <c r="E19" s="21"/>
      <c r="F19" s="21"/>
      <c r="G19" s="21"/>
      <c r="H19" s="739" t="s">
        <v>277</v>
      </c>
      <c r="N19" s="5"/>
      <c r="O19" s="408"/>
      <c r="P19" s="408"/>
      <c r="Q19" s="104"/>
      <c r="R19" s="104"/>
      <c r="S19" s="1"/>
      <c r="V19" s="1"/>
      <c r="W19" s="1"/>
      <c r="X19" s="2"/>
    </row>
    <row r="20" spans="1:24" ht="13.8" thickBot="1" x14ac:dyDescent="0.3">
      <c r="B20">
        <v>25</v>
      </c>
      <c r="C20" s="30"/>
      <c r="D20" s="528"/>
      <c r="E20" s="32"/>
      <c r="F20" s="32"/>
      <c r="G20" s="32"/>
      <c r="H20" s="37">
        <f>AVERAGE(G7:G18)</f>
        <v>-4.0129131999999981</v>
      </c>
      <c r="M20" s="5"/>
      <c r="N20" s="5"/>
      <c r="O20" s="51"/>
      <c r="P20" s="103"/>
      <c r="Q20" s="408"/>
      <c r="S20" s="1"/>
      <c r="V20" s="1"/>
      <c r="W20" s="1"/>
      <c r="X20" s="2"/>
    </row>
    <row r="21" spans="1:24" x14ac:dyDescent="0.25">
      <c r="A21">
        <v>0.14130000000000001</v>
      </c>
      <c r="B21">
        <v>12.5</v>
      </c>
      <c r="C21" s="24">
        <v>0.29730000000000001</v>
      </c>
      <c r="D21" s="728" t="s">
        <v>273</v>
      </c>
      <c r="E21" s="25">
        <f>AVERAGE(C21:C22)</f>
        <v>0.32530000000000003</v>
      </c>
      <c r="F21" s="25">
        <f>219.26*E21 - 23.857</f>
        <v>47.468278000000012</v>
      </c>
      <c r="G21" s="25">
        <f>F21-32.16</f>
        <v>15.308278000000016</v>
      </c>
      <c r="H21" s="52"/>
      <c r="O21" s="622"/>
      <c r="P21" s="622"/>
      <c r="Q21" s="622"/>
      <c r="R21" s="622"/>
      <c r="S21" s="1"/>
      <c r="V21" s="1"/>
      <c r="W21" s="1"/>
      <c r="X21" s="2"/>
    </row>
    <row r="22" spans="1:24" x14ac:dyDescent="0.25">
      <c r="A22">
        <v>0.1409</v>
      </c>
      <c r="B22">
        <v>12.5</v>
      </c>
      <c r="C22" s="26">
        <v>0.3533</v>
      </c>
      <c r="D22" s="729">
        <v>7904</v>
      </c>
      <c r="E22" s="21"/>
      <c r="F22" s="21"/>
      <c r="G22" s="21"/>
      <c r="H22" s="35"/>
      <c r="M22" s="5"/>
      <c r="N22" s="5"/>
      <c r="O22" s="103"/>
      <c r="Q22" s="103"/>
      <c r="V22" s="1"/>
      <c r="W22" s="1"/>
      <c r="X22" s="2"/>
    </row>
    <row r="23" spans="1:24" ht="13.8" x14ac:dyDescent="0.25">
      <c r="B23">
        <v>12.5</v>
      </c>
      <c r="C23" s="26"/>
      <c r="D23" s="212"/>
      <c r="E23" s="21"/>
      <c r="F23" s="21"/>
      <c r="G23" s="21"/>
      <c r="H23" s="35"/>
      <c r="M23" s="51"/>
      <c r="N23" s="103"/>
      <c r="O23" s="103"/>
      <c r="P23" s="103"/>
      <c r="Q23" s="103"/>
      <c r="S23" s="1"/>
      <c r="U23" s="196"/>
      <c r="V23" s="1"/>
      <c r="W23" s="1"/>
      <c r="X23" s="2"/>
    </row>
    <row r="24" spans="1:24" ht="13.8" x14ac:dyDescent="0.25">
      <c r="A24">
        <v>0.11749999999999999</v>
      </c>
      <c r="B24">
        <v>6.25</v>
      </c>
      <c r="C24" s="26">
        <v>0.26569999999999999</v>
      </c>
      <c r="D24" s="729" t="s">
        <v>273</v>
      </c>
      <c r="E24" s="21"/>
      <c r="F24" s="21"/>
      <c r="G24" s="21"/>
      <c r="H24" s="35"/>
      <c r="M24" s="5"/>
      <c r="N24" s="5"/>
      <c r="O24" s="103"/>
      <c r="Q24" s="103"/>
      <c r="U24" s="196"/>
      <c r="V24" s="1"/>
      <c r="W24" s="1"/>
      <c r="X24" s="2"/>
    </row>
    <row r="25" spans="1:24" ht="13.8" x14ac:dyDescent="0.25">
      <c r="A25">
        <v>0.11020000000000001</v>
      </c>
      <c r="B25">
        <v>6.25</v>
      </c>
      <c r="C25" s="26">
        <v>0.30059999999999998</v>
      </c>
      <c r="D25" s="729">
        <v>7905</v>
      </c>
      <c r="E25" s="21">
        <f>AVERAGE(C24:C26)</f>
        <v>0.28315000000000001</v>
      </c>
      <c r="F25" s="21">
        <f>219.26*E25 - 23.857</f>
        <v>38.226469000000002</v>
      </c>
      <c r="G25" s="21">
        <f>F25-32.16</f>
        <v>6.066469000000005</v>
      </c>
      <c r="H25" s="35"/>
      <c r="N25" s="103"/>
      <c r="O25" s="622"/>
      <c r="P25" s="622"/>
      <c r="Q25" s="622"/>
      <c r="R25" s="622"/>
      <c r="S25" s="1"/>
      <c r="U25" s="196"/>
      <c r="V25" s="1"/>
      <c r="W25" s="1"/>
      <c r="X25" s="2"/>
    </row>
    <row r="26" spans="1:24" ht="13.8" x14ac:dyDescent="0.25">
      <c r="B26">
        <v>6.25</v>
      </c>
      <c r="C26" s="26"/>
      <c r="D26" s="212"/>
      <c r="E26" s="21"/>
      <c r="F26" s="21"/>
      <c r="G26" s="21"/>
      <c r="H26" s="35"/>
      <c r="M26" s="5"/>
      <c r="N26" s="5"/>
      <c r="O26" s="103"/>
      <c r="Q26" s="103"/>
      <c r="S26" s="1"/>
      <c r="U26" s="196"/>
      <c r="V26" s="1"/>
      <c r="W26" s="1"/>
      <c r="X26" s="2"/>
    </row>
    <row r="27" spans="1:24" ht="13.8" x14ac:dyDescent="0.25">
      <c r="A27">
        <v>5.6099999999999997E-2</v>
      </c>
      <c r="B27">
        <v>0</v>
      </c>
      <c r="C27" s="26">
        <v>0.25569999999999998</v>
      </c>
      <c r="D27" s="729" t="s">
        <v>273</v>
      </c>
      <c r="E27" s="21">
        <f>AVERAGE(C27:C29)</f>
        <v>0.25390000000000001</v>
      </c>
      <c r="F27" s="21">
        <f>219.26*E27 - 23.857</f>
        <v>31.813113999999999</v>
      </c>
      <c r="G27" s="21">
        <f>F27-32.16</f>
        <v>-0.34688599999999781</v>
      </c>
      <c r="H27" s="35"/>
      <c r="O27" s="103"/>
      <c r="P27" s="103"/>
      <c r="Q27" s="103"/>
      <c r="S27" s="1"/>
      <c r="U27" s="196"/>
      <c r="V27" s="1"/>
      <c r="W27" s="1"/>
      <c r="X27" s="2"/>
    </row>
    <row r="28" spans="1:24" ht="13.8" x14ac:dyDescent="0.25">
      <c r="A28">
        <v>6.59E-2</v>
      </c>
      <c r="B28">
        <v>0</v>
      </c>
      <c r="C28" s="26">
        <v>0.25209999999999999</v>
      </c>
      <c r="D28" s="729">
        <v>7907</v>
      </c>
      <c r="E28" s="21"/>
      <c r="F28" s="21"/>
      <c r="G28" s="21"/>
      <c r="H28" s="35"/>
      <c r="J28" s="55" t="s">
        <v>274</v>
      </c>
      <c r="M28" s="5"/>
      <c r="N28" s="5"/>
      <c r="S28" s="1"/>
      <c r="U28" s="196"/>
      <c r="V28" s="1"/>
      <c r="W28" s="1"/>
      <c r="X28" s="2"/>
    </row>
    <row r="29" spans="1:24" ht="13.8" x14ac:dyDescent="0.25">
      <c r="C29" s="26"/>
      <c r="D29" s="212"/>
      <c r="E29" s="21"/>
      <c r="F29" s="21"/>
      <c r="G29" s="21"/>
      <c r="H29" s="35"/>
      <c r="O29" s="622"/>
      <c r="P29" s="622"/>
      <c r="Q29" s="622"/>
      <c r="R29" s="622"/>
      <c r="S29" s="1"/>
      <c r="U29" s="196"/>
      <c r="V29" s="1"/>
      <c r="W29" s="1"/>
      <c r="X29" s="2"/>
    </row>
    <row r="30" spans="1:24" x14ac:dyDescent="0.25">
      <c r="C30" s="26">
        <v>0.19550000000000001</v>
      </c>
      <c r="D30" s="729" t="s">
        <v>273</v>
      </c>
      <c r="E30" s="21">
        <f>AVERAGE(C30:C32)</f>
        <v>0.1953</v>
      </c>
      <c r="F30" s="21">
        <f>219.26*E30 - 23.857</f>
        <v>18.964478</v>
      </c>
      <c r="G30" s="21">
        <f>F30-32.16</f>
        <v>-13.195521999999997</v>
      </c>
      <c r="H30" s="35"/>
      <c r="M30" s="5"/>
      <c r="N30" s="5"/>
      <c r="S30" s="1"/>
      <c r="V30" s="1"/>
      <c r="W30" s="1"/>
      <c r="X30" s="2"/>
    </row>
    <row r="31" spans="1:24" ht="13.8" thickBot="1" x14ac:dyDescent="0.3">
      <c r="C31" s="26">
        <v>0.1951</v>
      </c>
      <c r="D31" s="729" t="s">
        <v>275</v>
      </c>
      <c r="E31" s="21"/>
      <c r="F31" s="21"/>
      <c r="G31" s="21"/>
      <c r="H31" s="35"/>
      <c r="O31" s="103"/>
      <c r="S31" s="1"/>
      <c r="V31" s="1"/>
      <c r="W31" s="1"/>
      <c r="X31" s="2"/>
    </row>
    <row r="32" spans="1:24" x14ac:dyDescent="0.25">
      <c r="C32" s="26"/>
      <c r="D32" s="212"/>
      <c r="E32" s="21"/>
      <c r="F32" s="21"/>
      <c r="G32" s="21"/>
      <c r="H32" s="750"/>
      <c r="I32" s="776" t="s">
        <v>286</v>
      </c>
      <c r="J32" s="777" t="s">
        <v>13</v>
      </c>
      <c r="M32" s="5"/>
      <c r="N32" s="5"/>
      <c r="S32" s="1"/>
      <c r="V32" s="1"/>
      <c r="W32" s="1"/>
      <c r="X32" s="2"/>
    </row>
    <row r="33" spans="3:24" ht="13.8" thickBot="1" x14ac:dyDescent="0.3">
      <c r="C33" s="26">
        <v>0.37240000000000001</v>
      </c>
      <c r="D33" s="729" t="s">
        <v>273</v>
      </c>
      <c r="E33" s="21">
        <f>AVERAGE(C33:C35)</f>
        <v>0.31104999999999999</v>
      </c>
      <c r="F33" s="21">
        <f>219.26*E33 - 23.857</f>
        <v>44.343823</v>
      </c>
      <c r="G33" s="21">
        <f>F33-32.16</f>
        <v>12.183823000000004</v>
      </c>
      <c r="H33" s="750"/>
      <c r="I33" s="298">
        <f>AVERAGE(F7:F33)</f>
        <v>32.155159599999998</v>
      </c>
      <c r="J33" s="595">
        <f>STDEV(F7:F33)/SQRT(COUNT(F7:F33))</f>
        <v>2.9453667325740027</v>
      </c>
      <c r="O33" s="622"/>
      <c r="P33" s="622"/>
      <c r="Q33" s="622"/>
      <c r="R33" s="622"/>
      <c r="S33" s="1"/>
      <c r="V33" s="1"/>
      <c r="W33" s="1"/>
      <c r="X33" s="2"/>
    </row>
    <row r="34" spans="3:24" x14ac:dyDescent="0.25">
      <c r="C34" s="26">
        <v>0.24970000000000001</v>
      </c>
      <c r="D34" s="729" t="s">
        <v>276</v>
      </c>
      <c r="E34" s="21"/>
      <c r="F34" s="21"/>
      <c r="G34" s="21"/>
      <c r="H34" s="740" t="s">
        <v>277</v>
      </c>
      <c r="I34" s="778" t="s">
        <v>278</v>
      </c>
      <c r="J34" s="779" t="s">
        <v>13</v>
      </c>
      <c r="M34" s="5"/>
      <c r="N34" s="5"/>
      <c r="S34" s="1"/>
      <c r="V34" s="1"/>
      <c r="W34" s="1"/>
      <c r="X34" s="2"/>
    </row>
    <row r="35" spans="3:24" ht="13.8" thickBot="1" x14ac:dyDescent="0.3">
      <c r="C35" s="27"/>
      <c r="D35" s="515"/>
      <c r="E35" s="29"/>
      <c r="F35" s="29"/>
      <c r="G35" s="29"/>
      <c r="H35" s="684">
        <f>AVERAGE(G21:G33)</f>
        <v>4.0032324000000061</v>
      </c>
      <c r="I35" s="745">
        <f>AVERAGE(G7:G33)</f>
        <v>-4.8403999999962364E-3</v>
      </c>
      <c r="J35" s="595">
        <f>STDEV(G7:G33)/SQRT(COUNT(G7:G33))</f>
        <v>2.9453667325739983</v>
      </c>
      <c r="O35" s="103"/>
      <c r="V35" s="1"/>
      <c r="W35" s="1"/>
      <c r="X35" s="2"/>
    </row>
    <row r="36" spans="3:24" x14ac:dyDescent="0.25">
      <c r="C36" s="24">
        <v>0.25659999999999999</v>
      </c>
      <c r="D36" s="733" t="s">
        <v>280</v>
      </c>
      <c r="E36" s="25">
        <f>AVERAGE(C36:C38)</f>
        <v>0.27875</v>
      </c>
      <c r="F36" s="25">
        <f>219.26*E36 - 23.857</f>
        <v>37.261724999999998</v>
      </c>
      <c r="G36" s="25">
        <f>F36-32.16</f>
        <v>5.1017250000000018</v>
      </c>
      <c r="H36" s="734"/>
      <c r="S36" s="1"/>
      <c r="V36" s="1"/>
      <c r="W36" s="1"/>
      <c r="X36" s="2"/>
    </row>
    <row r="37" spans="3:24" x14ac:dyDescent="0.25">
      <c r="C37" s="26">
        <v>0.3009</v>
      </c>
      <c r="D37" s="413">
        <v>8639</v>
      </c>
      <c r="E37" s="21"/>
      <c r="F37" s="21"/>
      <c r="G37" s="21"/>
      <c r="H37" s="735"/>
      <c r="S37" s="1"/>
      <c r="V37" s="1"/>
      <c r="W37" s="1"/>
      <c r="X37" s="2"/>
    </row>
    <row r="38" spans="3:24" ht="13.8" thickBot="1" x14ac:dyDescent="0.3">
      <c r="C38" s="26"/>
      <c r="D38" s="212"/>
      <c r="E38" s="21"/>
      <c r="F38" s="21"/>
      <c r="G38" s="21"/>
      <c r="H38" s="735"/>
      <c r="M38" s="5"/>
      <c r="N38" s="5"/>
      <c r="S38" s="1"/>
      <c r="V38" s="1"/>
      <c r="W38" s="1"/>
      <c r="X38" s="2"/>
    </row>
    <row r="39" spans="3:24" x14ac:dyDescent="0.25">
      <c r="C39" s="26">
        <v>0.2195</v>
      </c>
      <c r="D39" s="733" t="s">
        <v>280</v>
      </c>
      <c r="E39" s="21">
        <f>AVERAGE(C39:C41)</f>
        <v>0.21655000000000002</v>
      </c>
      <c r="F39" s="21">
        <f>219.26*E39 - 23.857</f>
        <v>23.623753000000001</v>
      </c>
      <c r="G39" s="21">
        <f>F39-32.16</f>
        <v>-8.5362469999999959</v>
      </c>
      <c r="H39" s="735"/>
      <c r="S39" s="1"/>
      <c r="V39" s="1"/>
      <c r="W39" s="1"/>
      <c r="X39" s="2"/>
    </row>
    <row r="40" spans="3:24" x14ac:dyDescent="0.25">
      <c r="C40" s="26">
        <v>0.21360000000000001</v>
      </c>
      <c r="D40" s="413">
        <v>8640</v>
      </c>
      <c r="E40" s="21"/>
      <c r="F40" s="21"/>
      <c r="G40" s="21"/>
      <c r="H40" s="735"/>
      <c r="M40" s="5"/>
      <c r="N40" s="5"/>
      <c r="S40" s="1"/>
      <c r="T40" s="1"/>
      <c r="V40" s="1"/>
      <c r="W40" s="1"/>
      <c r="X40" s="2"/>
    </row>
    <row r="41" spans="3:24" ht="13.8" thickBot="1" x14ac:dyDescent="0.3">
      <c r="C41" s="26"/>
      <c r="D41" s="212"/>
      <c r="E41" s="21"/>
      <c r="F41" s="21"/>
      <c r="G41" s="21"/>
      <c r="H41" s="735"/>
      <c r="S41" s="1"/>
      <c r="V41" s="1"/>
      <c r="W41" s="1"/>
      <c r="X41" s="2"/>
    </row>
    <row r="42" spans="3:24" x14ac:dyDescent="0.25">
      <c r="C42" s="26">
        <v>0.1958</v>
      </c>
      <c r="D42" s="733" t="s">
        <v>280</v>
      </c>
      <c r="E42" s="21">
        <f>AVERAGE(C42:C44)</f>
        <v>0.23125000000000001</v>
      </c>
      <c r="F42" s="21">
        <f>219.26*E42 - 23.857</f>
        <v>26.846875000000004</v>
      </c>
      <c r="G42" s="21">
        <f>F42-32.16</f>
        <v>-5.3131249999999923</v>
      </c>
      <c r="H42" s="735"/>
      <c r="M42" s="5"/>
      <c r="N42" s="5"/>
      <c r="S42" s="1"/>
      <c r="T42" s="1"/>
      <c r="V42" s="1"/>
      <c r="W42" s="1"/>
      <c r="X42" s="2"/>
    </row>
    <row r="43" spans="3:24" x14ac:dyDescent="0.25">
      <c r="C43" s="26">
        <v>0.26669999999999999</v>
      </c>
      <c r="D43" s="413">
        <v>8641</v>
      </c>
      <c r="E43" s="21"/>
      <c r="F43" s="21"/>
      <c r="G43" s="21"/>
      <c r="H43" s="735"/>
      <c r="S43" s="1"/>
      <c r="V43" s="1"/>
      <c r="W43" s="1"/>
      <c r="X43" s="2"/>
    </row>
    <row r="44" spans="3:24" ht="13.8" thickBot="1" x14ac:dyDescent="0.3">
      <c r="C44" s="26"/>
      <c r="D44" s="212"/>
      <c r="E44" s="21"/>
      <c r="F44" s="21"/>
      <c r="G44" s="21"/>
      <c r="H44" s="735"/>
      <c r="M44" s="5"/>
      <c r="N44" s="5"/>
      <c r="S44" s="1"/>
    </row>
    <row r="45" spans="3:24" x14ac:dyDescent="0.25">
      <c r="C45" s="26">
        <v>0.26910000000000001</v>
      </c>
      <c r="D45" s="733" t="s">
        <v>280</v>
      </c>
      <c r="E45" s="21">
        <f>AVERAGE(C45:C47)</f>
        <v>0.29400000000000004</v>
      </c>
      <c r="F45" s="21">
        <f>219.26*E45 - 23.857</f>
        <v>40.605440000000002</v>
      </c>
      <c r="G45" s="21">
        <f>F45-32.16</f>
        <v>8.4454400000000049</v>
      </c>
      <c r="H45" s="735"/>
      <c r="S45" s="1"/>
    </row>
    <row r="46" spans="3:24" x14ac:dyDescent="0.25">
      <c r="C46" s="26">
        <v>0.31890000000000002</v>
      </c>
      <c r="D46" s="413">
        <v>8642</v>
      </c>
      <c r="E46" s="21"/>
      <c r="F46" s="21"/>
      <c r="G46" s="21"/>
      <c r="H46" s="735"/>
      <c r="S46" s="1"/>
    </row>
    <row r="47" spans="3:24" ht="13.8" thickBot="1" x14ac:dyDescent="0.3">
      <c r="C47" s="26"/>
      <c r="D47" s="212"/>
      <c r="E47" s="21"/>
      <c r="F47" s="21"/>
      <c r="G47" s="21"/>
      <c r="H47" s="735"/>
    </row>
    <row r="48" spans="3:24" x14ac:dyDescent="0.25">
      <c r="C48" s="26">
        <v>0.27339999999999998</v>
      </c>
      <c r="D48" s="733" t="s">
        <v>280</v>
      </c>
      <c r="E48" s="21">
        <f>AVERAGE(C48:C50)</f>
        <v>0.26200000000000001</v>
      </c>
      <c r="F48" s="21">
        <f>219.26*E48 - 23.857</f>
        <v>33.589120000000001</v>
      </c>
      <c r="G48" s="21">
        <f>F48-32.16</f>
        <v>1.4291200000000046</v>
      </c>
      <c r="H48" s="735"/>
      <c r="S48" s="1"/>
    </row>
    <row r="49" spans="2:21" x14ac:dyDescent="0.25">
      <c r="C49" s="26">
        <v>0.25059999999999999</v>
      </c>
      <c r="D49" s="413">
        <v>8568</v>
      </c>
      <c r="E49" s="21"/>
      <c r="F49" s="21"/>
      <c r="G49" s="21"/>
      <c r="H49" s="741" t="s">
        <v>277</v>
      </c>
    </row>
    <row r="50" spans="2:21" ht="13.8" thickBot="1" x14ac:dyDescent="0.3">
      <c r="C50" s="423"/>
      <c r="D50" s="736"/>
      <c r="E50" s="425"/>
      <c r="F50" s="425"/>
      <c r="G50" s="425"/>
      <c r="H50" s="279">
        <f>AVERAGE(G36:G48)</f>
        <v>0.22538260000000462</v>
      </c>
      <c r="S50" s="1"/>
    </row>
    <row r="51" spans="2:21" x14ac:dyDescent="0.25">
      <c r="C51" s="24">
        <v>0.2747</v>
      </c>
      <c r="D51" s="737" t="s">
        <v>281</v>
      </c>
      <c r="E51" s="25">
        <f>AVERAGE(C51:C53)</f>
        <v>0.2586</v>
      </c>
      <c r="F51" s="25">
        <f>219.26*E51 - 23.857</f>
        <v>32.843635999999996</v>
      </c>
      <c r="G51" s="25">
        <f>F51-32.16</f>
        <v>0.68363599999999991</v>
      </c>
      <c r="H51" s="52"/>
      <c r="S51" s="1"/>
    </row>
    <row r="52" spans="2:21" x14ac:dyDescent="0.25">
      <c r="B52" t="s">
        <v>0</v>
      </c>
      <c r="C52" s="26">
        <v>0.24249999999999999</v>
      </c>
      <c r="D52" s="730">
        <v>8389</v>
      </c>
      <c r="E52" s="21"/>
      <c r="F52" s="21"/>
      <c r="G52" s="21"/>
      <c r="H52" s="35"/>
      <c r="S52" s="1"/>
      <c r="U52" s="3"/>
    </row>
    <row r="53" spans="2:21" ht="13.8" thickBot="1" x14ac:dyDescent="0.3">
      <c r="C53" s="26"/>
      <c r="D53" s="212"/>
      <c r="E53" s="21"/>
      <c r="F53" s="21"/>
      <c r="G53" s="21"/>
      <c r="H53" s="35"/>
      <c r="N53" s="1"/>
      <c r="O53" s="1"/>
      <c r="P53" s="1"/>
      <c r="R53" s="1"/>
      <c r="S53" s="1"/>
      <c r="T53" s="1"/>
    </row>
    <row r="54" spans="2:21" x14ac:dyDescent="0.25">
      <c r="C54" s="26">
        <v>0.2379</v>
      </c>
      <c r="D54" s="737" t="s">
        <v>281</v>
      </c>
      <c r="E54" s="21">
        <f>AVERAGE(C54:C56)</f>
        <v>0.25750000000000001</v>
      </c>
      <c r="F54" s="21">
        <f>219.26*E54 - 23.857</f>
        <v>32.602449999999997</v>
      </c>
      <c r="G54" s="21">
        <f>F54-32.16</f>
        <v>0.4424500000000009</v>
      </c>
      <c r="H54" s="35"/>
      <c r="M54" s="1"/>
      <c r="N54" s="1"/>
      <c r="O54" s="1"/>
      <c r="P54" s="1"/>
      <c r="Q54" s="1"/>
      <c r="R54" s="1"/>
      <c r="S54" s="1"/>
      <c r="T54" s="1"/>
    </row>
    <row r="55" spans="2:21" x14ac:dyDescent="0.25">
      <c r="C55" s="26">
        <v>0.27710000000000001</v>
      </c>
      <c r="D55" s="730">
        <v>8493</v>
      </c>
      <c r="E55" s="21"/>
      <c r="F55" s="21"/>
      <c r="G55" s="21"/>
      <c r="H55" s="35"/>
      <c r="M55" s="1"/>
      <c r="N55" s="1"/>
      <c r="O55" s="1"/>
      <c r="P55" s="1"/>
      <c r="Q55" s="1"/>
      <c r="R55" s="1"/>
      <c r="S55" s="1"/>
      <c r="T55" s="1"/>
    </row>
    <row r="56" spans="2:21" ht="13.8" thickBot="1" x14ac:dyDescent="0.3">
      <c r="C56" s="26"/>
      <c r="D56" s="212"/>
      <c r="E56" s="21"/>
      <c r="F56" s="21"/>
      <c r="G56" s="21"/>
      <c r="H56" s="35"/>
      <c r="M56" s="1"/>
      <c r="N56" s="1"/>
      <c r="O56" s="1"/>
      <c r="P56" s="1"/>
      <c r="Q56" s="1"/>
      <c r="S56" s="1"/>
    </row>
    <row r="57" spans="2:21" x14ac:dyDescent="0.25">
      <c r="C57" s="26">
        <v>0.2535</v>
      </c>
      <c r="D57" s="737" t="s">
        <v>281</v>
      </c>
      <c r="E57" s="21">
        <f>AVERAGE(C57:C59)</f>
        <v>0.27500000000000002</v>
      </c>
      <c r="F57" s="21">
        <f>219.26*E57 - 23.857</f>
        <v>36.439500000000002</v>
      </c>
      <c r="G57" s="21">
        <f>F57-32.16</f>
        <v>4.2795000000000059</v>
      </c>
      <c r="H57" s="35"/>
      <c r="S57" s="1"/>
    </row>
    <row r="58" spans="2:21" x14ac:dyDescent="0.25">
      <c r="C58" s="26">
        <v>0.29649999999999999</v>
      </c>
      <c r="D58" s="730">
        <v>8494</v>
      </c>
      <c r="E58" s="21"/>
      <c r="F58" s="21"/>
      <c r="G58" s="21"/>
      <c r="H58" s="35"/>
      <c r="S58" s="1"/>
    </row>
    <row r="59" spans="2:21" ht="13.8" thickBot="1" x14ac:dyDescent="0.3">
      <c r="C59" s="26"/>
      <c r="D59" s="212"/>
      <c r="E59" s="21"/>
      <c r="F59" s="21"/>
      <c r="G59" s="21"/>
      <c r="H59" s="35"/>
      <c r="S59" s="1"/>
    </row>
    <row r="60" spans="2:21" ht="13.8" thickBot="1" x14ac:dyDescent="0.3">
      <c r="C60" s="26">
        <v>0.1996</v>
      </c>
      <c r="D60" s="737" t="s">
        <v>281</v>
      </c>
      <c r="E60" s="21">
        <f>AVERAGE(C60:C62)</f>
        <v>0.19950000000000001</v>
      </c>
      <c r="F60" s="21">
        <f>219.26*E60 - 23.857</f>
        <v>19.885370000000002</v>
      </c>
      <c r="G60" s="21">
        <f>F60-32.16</f>
        <v>-12.274629999999995</v>
      </c>
      <c r="H60" s="35"/>
    </row>
    <row r="61" spans="2:21" x14ac:dyDescent="0.25">
      <c r="C61" s="26">
        <v>0.19939999999999999</v>
      </c>
      <c r="D61" s="730">
        <v>8216</v>
      </c>
      <c r="E61" s="21"/>
      <c r="F61" s="21"/>
      <c r="G61" s="21"/>
      <c r="H61" s="35"/>
      <c r="I61" s="774" t="s">
        <v>287</v>
      </c>
      <c r="J61" s="775" t="s">
        <v>13</v>
      </c>
      <c r="S61" s="1"/>
    </row>
    <row r="62" spans="2:21" ht="13.8" thickBot="1" x14ac:dyDescent="0.3">
      <c r="C62" s="26"/>
      <c r="D62" s="212"/>
      <c r="E62" s="21"/>
      <c r="F62" s="21"/>
      <c r="G62" s="21"/>
      <c r="H62" s="35"/>
      <c r="I62" s="745">
        <f>AVERAGE(F36:F63)</f>
        <v>31.936995899999999</v>
      </c>
      <c r="J62" s="595">
        <f>STDEV(F36:F63)/SQRT(COUNT(F36:F63))</f>
        <v>2.0601334876008139</v>
      </c>
      <c r="S62" s="1"/>
    </row>
    <row r="63" spans="2:21" x14ac:dyDescent="0.25">
      <c r="C63" s="26">
        <v>0.2702</v>
      </c>
      <c r="D63" s="737" t="s">
        <v>281</v>
      </c>
      <c r="E63" s="21">
        <f>AVERAGE(C63:C65)</f>
        <v>0.27149999999999996</v>
      </c>
      <c r="F63" s="21">
        <f>219.26*E63 - 23.857</f>
        <v>35.67208999999999</v>
      </c>
      <c r="G63" s="21">
        <f>F63-32.16</f>
        <v>3.5120899999999935</v>
      </c>
      <c r="H63" s="743" t="s">
        <v>277</v>
      </c>
      <c r="I63" s="774" t="s">
        <v>279</v>
      </c>
      <c r="J63" s="775" t="s">
        <v>13</v>
      </c>
      <c r="S63" s="1"/>
    </row>
    <row r="64" spans="2:21" ht="13.8" thickBot="1" x14ac:dyDescent="0.3">
      <c r="C64" s="27">
        <v>0.27279999999999999</v>
      </c>
      <c r="D64" s="742">
        <v>8496</v>
      </c>
      <c r="E64" s="29"/>
      <c r="F64" s="29"/>
      <c r="G64" s="29"/>
      <c r="H64" s="744">
        <f>AVERAGE(G51:G63)</f>
        <v>-0.67139079999999896</v>
      </c>
      <c r="I64" s="745">
        <f>AVERAGE(G36:G63)</f>
        <v>-0.22300409999999715</v>
      </c>
      <c r="J64" s="595">
        <f>STDEV(G36:G63)/SQRT(COUNT(G36:G63))</f>
        <v>2.0601334876008148</v>
      </c>
      <c r="S64" s="1"/>
    </row>
    <row r="65" spans="1:19" x14ac:dyDescent="0.25">
      <c r="D65" s="5"/>
      <c r="S65" s="1"/>
    </row>
    <row r="66" spans="1:19" ht="13.8" thickBot="1" x14ac:dyDescent="0.3">
      <c r="D66" s="5"/>
      <c r="F66" s="403" t="s">
        <v>5</v>
      </c>
      <c r="G66" s="403" t="s">
        <v>6</v>
      </c>
      <c r="H66" s="403" t="s">
        <v>7</v>
      </c>
      <c r="I66" s="403" t="s">
        <v>285</v>
      </c>
      <c r="M66" s="8" t="s">
        <v>289</v>
      </c>
      <c r="S66" s="1"/>
    </row>
    <row r="67" spans="1:19" x14ac:dyDescent="0.25">
      <c r="A67">
        <v>3.206</v>
      </c>
      <c r="B67">
        <v>400</v>
      </c>
      <c r="C67" s="24">
        <v>0.30869999999999997</v>
      </c>
      <c r="D67" s="747" t="s">
        <v>282</v>
      </c>
      <c r="E67" s="25">
        <f>AVERAGE(C67:C69)</f>
        <v>0.30354999999999999</v>
      </c>
      <c r="F67" s="25">
        <f>129.49*E67 - 9.067</f>
        <v>30.239689500000004</v>
      </c>
      <c r="G67" s="25">
        <v>27.786763499999999</v>
      </c>
      <c r="H67" s="25">
        <f>AVERAGE(F67:G67)</f>
        <v>29.013226500000002</v>
      </c>
      <c r="I67" s="593">
        <f>H67-30.55</f>
        <v>-1.5367734999999989</v>
      </c>
      <c r="S67" s="1"/>
    </row>
    <row r="68" spans="1:19" x14ac:dyDescent="0.25">
      <c r="A68">
        <v>3.0939999999999999</v>
      </c>
      <c r="B68">
        <v>400</v>
      </c>
      <c r="C68" s="26">
        <v>0.2984</v>
      </c>
      <c r="D68" s="731">
        <v>8936</v>
      </c>
      <c r="E68" s="21"/>
      <c r="F68" s="21"/>
      <c r="G68" s="21"/>
      <c r="H68" s="21"/>
      <c r="I68" s="594"/>
      <c r="S68" s="1"/>
    </row>
    <row r="69" spans="1:19" x14ac:dyDescent="0.25">
      <c r="B69">
        <v>400</v>
      </c>
      <c r="C69" s="26"/>
      <c r="D69" s="212"/>
      <c r="E69" s="21"/>
      <c r="F69" s="21"/>
      <c r="G69" s="21"/>
      <c r="H69" s="21"/>
      <c r="I69" s="594"/>
    </row>
    <row r="70" spans="1:19" x14ac:dyDescent="0.25">
      <c r="A70">
        <v>1.6554</v>
      </c>
      <c r="B70">
        <v>200</v>
      </c>
      <c r="C70" s="26">
        <v>0.32650000000000001</v>
      </c>
      <c r="D70" s="731" t="s">
        <v>282</v>
      </c>
      <c r="E70" s="21">
        <f>AVERAGE(C70:C72)</f>
        <v>0.31610000000000005</v>
      </c>
      <c r="F70" s="21">
        <f>129.49*E70 - 9.067</f>
        <v>31.864789000000009</v>
      </c>
      <c r="G70" s="21">
        <v>28.474544499999993</v>
      </c>
      <c r="H70" s="21">
        <f>AVERAGE(F70:G70)</f>
        <v>30.169666750000001</v>
      </c>
      <c r="I70" s="594">
        <f>H70-30.55</f>
        <v>-0.38033324999999962</v>
      </c>
      <c r="S70" s="1"/>
    </row>
    <row r="71" spans="1:19" x14ac:dyDescent="0.25">
      <c r="A71">
        <v>1.669</v>
      </c>
      <c r="B71">
        <v>200</v>
      </c>
      <c r="C71" s="26">
        <v>0.30570000000000003</v>
      </c>
      <c r="D71" s="731">
        <v>8944</v>
      </c>
      <c r="E71" s="21"/>
      <c r="F71" s="21"/>
      <c r="G71" s="21"/>
      <c r="H71" s="21"/>
      <c r="I71" s="594"/>
      <c r="S71" s="1"/>
    </row>
    <row r="72" spans="1:19" x14ac:dyDescent="0.25">
      <c r="B72">
        <v>200</v>
      </c>
      <c r="C72" s="26"/>
      <c r="D72" s="212"/>
      <c r="E72" s="21"/>
      <c r="F72" s="21"/>
      <c r="G72" s="21"/>
      <c r="H72" s="21"/>
      <c r="I72" s="594"/>
    </row>
    <row r="73" spans="1:19" x14ac:dyDescent="0.25">
      <c r="A73">
        <v>0.76419999999999999</v>
      </c>
      <c r="B73">
        <v>100</v>
      </c>
      <c r="C73" s="26">
        <v>0.33460000000000001</v>
      </c>
      <c r="D73" s="731" t="s">
        <v>282</v>
      </c>
      <c r="E73" s="21">
        <f>AVERAGE(C73:C75)</f>
        <v>0.32555000000000001</v>
      </c>
      <c r="F73" s="21">
        <f>129.49*E73 - 9.067</f>
        <v>33.088469500000002</v>
      </c>
      <c r="G73" s="21">
        <v>30.0447615</v>
      </c>
      <c r="H73" s="21">
        <f>AVERAGE(F73:G73)</f>
        <v>31.566615500000001</v>
      </c>
      <c r="I73" s="594">
        <f>H73-30.55</f>
        <v>1.0166155000000003</v>
      </c>
    </row>
    <row r="74" spans="1:19" x14ac:dyDescent="0.25">
      <c r="A74">
        <v>0.76029999999999998</v>
      </c>
      <c r="B74">
        <v>100</v>
      </c>
      <c r="C74" s="26">
        <v>0.3165</v>
      </c>
      <c r="D74" s="731">
        <v>8941</v>
      </c>
      <c r="E74" s="21"/>
      <c r="F74" s="21"/>
      <c r="G74" s="21"/>
      <c r="H74" s="21"/>
      <c r="I74" s="594"/>
    </row>
    <row r="75" spans="1:19" x14ac:dyDescent="0.25">
      <c r="B75">
        <v>100</v>
      </c>
      <c r="C75" s="26"/>
      <c r="D75" s="212"/>
      <c r="E75" s="21"/>
      <c r="F75" s="21"/>
      <c r="G75" s="21"/>
      <c r="H75" s="21"/>
      <c r="I75" s="594"/>
    </row>
    <row r="76" spans="1:19" x14ac:dyDescent="0.25">
      <c r="A76">
        <v>0.45269999999999999</v>
      </c>
      <c r="B76">
        <v>50</v>
      </c>
      <c r="C76" s="26">
        <v>0.34710000000000002</v>
      </c>
      <c r="D76" s="731" t="s">
        <v>282</v>
      </c>
      <c r="E76" s="21">
        <f>AVERAGE(C76:C90)</f>
        <v>0.31489</v>
      </c>
      <c r="F76" s="21">
        <f>129.49*E76 - 9.067</f>
        <v>31.708106100000002</v>
      </c>
      <c r="G76" s="21">
        <v>34.197401499999998</v>
      </c>
      <c r="H76" s="21">
        <f>AVERAGE(F76:G76)</f>
        <v>32.952753799999996</v>
      </c>
      <c r="I76" s="594">
        <f>H76-30.55</f>
        <v>2.4027537999999957</v>
      </c>
      <c r="S76" s="1"/>
    </row>
    <row r="77" spans="1:19" x14ac:dyDescent="0.25">
      <c r="A77">
        <v>0.45350000000000001</v>
      </c>
      <c r="B77">
        <v>50</v>
      </c>
      <c r="C77" s="26">
        <v>0.33679999999999999</v>
      </c>
      <c r="D77" s="731">
        <v>8138</v>
      </c>
      <c r="E77" s="21"/>
      <c r="F77" s="21"/>
      <c r="G77" s="21"/>
      <c r="I77" s="35"/>
      <c r="S77" s="1"/>
    </row>
    <row r="78" spans="1:19" ht="13.8" thickBot="1" x14ac:dyDescent="0.3">
      <c r="B78">
        <v>50</v>
      </c>
      <c r="C78" s="27"/>
      <c r="D78" s="515"/>
      <c r="E78" s="29"/>
      <c r="F78" s="29"/>
      <c r="G78" s="29"/>
      <c r="H78" s="758">
        <f>AVERAGE(H67:H76)</f>
        <v>30.9255656375</v>
      </c>
      <c r="I78" s="759">
        <f>AVERAGE(I67:I76)</f>
        <v>0.37556563749999938</v>
      </c>
      <c r="L78" s="137"/>
      <c r="S78" s="1"/>
    </row>
    <row r="79" spans="1:19" x14ac:dyDescent="0.25">
      <c r="A79">
        <v>0.27739999999999998</v>
      </c>
      <c r="B79">
        <v>25</v>
      </c>
      <c r="C79" s="305">
        <v>0.27529999999999999</v>
      </c>
      <c r="D79" s="748" t="s">
        <v>284</v>
      </c>
      <c r="E79" s="46">
        <f>AVERAGE(C79:C81)</f>
        <v>0.27200000000000002</v>
      </c>
      <c r="F79" s="46">
        <f>129.49*E79 - 9.067</f>
        <v>26.154280000000007</v>
      </c>
      <c r="G79" s="46">
        <v>19.552857000000003</v>
      </c>
      <c r="H79" s="46">
        <f>AVERAGE(F79:G79)</f>
        <v>22.853568500000005</v>
      </c>
      <c r="I79" s="749">
        <f>H79-30.55</f>
        <v>-7.6964314999999957</v>
      </c>
      <c r="L79" s="137"/>
      <c r="S79" s="1"/>
    </row>
    <row r="80" spans="1:19" x14ac:dyDescent="0.25">
      <c r="A80">
        <v>0.26540000000000002</v>
      </c>
      <c r="B80">
        <v>25</v>
      </c>
      <c r="C80" s="26">
        <v>0.26869999999999999</v>
      </c>
      <c r="D80" s="732">
        <v>8408</v>
      </c>
      <c r="E80" s="21"/>
      <c r="F80" s="21"/>
      <c r="G80" s="21"/>
      <c r="H80" s="21"/>
      <c r="I80" s="594"/>
      <c r="L80" s="137"/>
      <c r="S80" s="1"/>
    </row>
    <row r="81" spans="1:19" x14ac:dyDescent="0.25">
      <c r="B81">
        <v>25</v>
      </c>
      <c r="C81" s="26"/>
      <c r="D81" s="212"/>
      <c r="E81" s="21"/>
      <c r="F81" s="21"/>
      <c r="G81" s="21"/>
      <c r="H81" s="21"/>
      <c r="I81" s="594"/>
      <c r="L81" s="137"/>
      <c r="S81" s="1"/>
    </row>
    <row r="82" spans="1:19" x14ac:dyDescent="0.25">
      <c r="A82">
        <v>0.1895</v>
      </c>
      <c r="B82">
        <v>12.5</v>
      </c>
      <c r="C82" s="26">
        <v>0.28749999999999998</v>
      </c>
      <c r="D82" s="732" t="s">
        <v>284</v>
      </c>
      <c r="E82" s="21">
        <f>AVERAGE(C82:C84)</f>
        <v>0.309</v>
      </c>
      <c r="F82" s="21">
        <f>129.49*E82 - 9.067</f>
        <v>30.945410000000003</v>
      </c>
      <c r="G82" s="21">
        <v>26.236011999999995</v>
      </c>
      <c r="H82" s="21">
        <f>AVERAGE(F82:G82)</f>
        <v>28.590710999999999</v>
      </c>
      <c r="I82" s="594">
        <f>H82-30.55</f>
        <v>-1.9592890000000018</v>
      </c>
      <c r="L82" s="137"/>
      <c r="S82" s="1"/>
    </row>
    <row r="83" spans="1:19" x14ac:dyDescent="0.25">
      <c r="A83">
        <v>0.18859999999999999</v>
      </c>
      <c r="B83">
        <v>12.5</v>
      </c>
      <c r="C83" s="26">
        <v>0.33050000000000002</v>
      </c>
      <c r="D83" s="732">
        <v>8613</v>
      </c>
      <c r="E83" s="21"/>
      <c r="F83" s="21"/>
      <c r="G83" s="21"/>
      <c r="H83" s="21"/>
      <c r="I83" s="594"/>
      <c r="L83" s="137"/>
      <c r="S83" s="1"/>
    </row>
    <row r="84" spans="1:19" x14ac:dyDescent="0.25">
      <c r="B84">
        <v>12.5</v>
      </c>
      <c r="C84" s="26"/>
      <c r="D84" s="212"/>
      <c r="E84" s="21"/>
      <c r="F84" s="21"/>
      <c r="G84" s="21"/>
      <c r="H84" s="21"/>
      <c r="I84" s="594"/>
      <c r="L84" s="137"/>
      <c r="S84" s="1"/>
    </row>
    <row r="85" spans="1:19" x14ac:dyDescent="0.25">
      <c r="A85">
        <v>0.121</v>
      </c>
      <c r="B85">
        <v>6.25</v>
      </c>
      <c r="C85" s="26">
        <v>0.31440000000000001</v>
      </c>
      <c r="D85" s="732" t="s">
        <v>284</v>
      </c>
      <c r="E85" s="21">
        <f>AVERAGE(C85:C87)</f>
        <v>0.311</v>
      </c>
      <c r="F85" s="21">
        <f>129.49*E85 - 9.067</f>
        <v>31.204390000000004</v>
      </c>
      <c r="G85" s="21">
        <v>27.702412999999993</v>
      </c>
      <c r="H85" s="21">
        <f>AVERAGE(F85:G85)</f>
        <v>29.453401499999998</v>
      </c>
      <c r="I85" s="594">
        <f>H85-30.55</f>
        <v>-1.0965985000000025</v>
      </c>
    </row>
    <row r="86" spans="1:19" x14ac:dyDescent="0.25">
      <c r="A86">
        <v>0.13850000000000001</v>
      </c>
      <c r="B86">
        <v>6.25</v>
      </c>
      <c r="C86" s="26">
        <v>0.30759999999999998</v>
      </c>
      <c r="D86" s="732">
        <v>8256</v>
      </c>
      <c r="E86" s="21"/>
      <c r="F86" s="21"/>
      <c r="G86" s="21"/>
      <c r="H86" s="21"/>
      <c r="I86" s="594"/>
      <c r="S86" s="1"/>
    </row>
    <row r="87" spans="1:19" x14ac:dyDescent="0.25">
      <c r="B87">
        <v>6.25</v>
      </c>
      <c r="C87" s="26"/>
      <c r="D87" s="212"/>
      <c r="E87" s="21"/>
      <c r="F87" s="21"/>
      <c r="G87" s="21"/>
      <c r="H87" s="21"/>
      <c r="I87" s="594"/>
      <c r="J87" s="773" t="s">
        <v>292</v>
      </c>
      <c r="K87" s="772" t="s">
        <v>13</v>
      </c>
      <c r="S87" s="1"/>
    </row>
    <row r="88" spans="1:19" x14ac:dyDescent="0.25">
      <c r="A88">
        <v>7.3200000000000001E-2</v>
      </c>
      <c r="B88">
        <v>0</v>
      </c>
      <c r="C88" s="26">
        <v>0.30559999999999998</v>
      </c>
      <c r="D88" s="732" t="s">
        <v>284</v>
      </c>
      <c r="E88" s="21">
        <f>AVERAGE(C88:C90)</f>
        <v>0.34050000000000002</v>
      </c>
      <c r="F88" s="21">
        <f>129.49*E88 - 9.067</f>
        <v>35.024345000000004</v>
      </c>
      <c r="G88" s="21">
        <v>38.019128000000002</v>
      </c>
      <c r="H88" s="21">
        <f>AVERAGE(F88:G88)</f>
        <v>36.521736500000003</v>
      </c>
      <c r="I88" s="594">
        <f>H88-30.55</f>
        <v>5.9717365000000022</v>
      </c>
      <c r="J88" s="103">
        <f>AVERAGE(H67:H76,H79:H88)</f>
        <v>30.140210006249998</v>
      </c>
      <c r="K88" s="103">
        <f>STDEV(H67:H76,H79:H88)/SQRT(COUNT(H67:H76,H79:H88))</f>
        <v>1.3881364220803631</v>
      </c>
      <c r="S88" s="1"/>
    </row>
    <row r="89" spans="1:19" x14ac:dyDescent="0.25">
      <c r="A89">
        <v>7.0999999999999994E-2</v>
      </c>
      <c r="B89">
        <v>0</v>
      </c>
      <c r="C89" s="26">
        <v>0.37540000000000001</v>
      </c>
      <c r="D89" s="732">
        <v>7975</v>
      </c>
      <c r="E89" s="21"/>
      <c r="F89" s="21"/>
      <c r="G89" s="21"/>
      <c r="H89" s="21"/>
      <c r="I89" s="35"/>
      <c r="J89" s="773" t="s">
        <v>293</v>
      </c>
      <c r="K89" s="772" t="s">
        <v>13</v>
      </c>
      <c r="S89" s="1"/>
    </row>
    <row r="90" spans="1:19" ht="13.8" thickBot="1" x14ac:dyDescent="0.3">
      <c r="C90" s="30"/>
      <c r="D90" s="528"/>
      <c r="E90" s="32"/>
      <c r="F90" s="32"/>
      <c r="G90" s="32"/>
      <c r="H90" s="760">
        <f>AVERAGE(H79:H88)</f>
        <v>29.354854375000002</v>
      </c>
      <c r="I90" s="761">
        <f>AVERAGE(I79:I88)</f>
        <v>-1.1951456249999994</v>
      </c>
      <c r="J90" s="103">
        <f>AVERAGE(I67:I76,I79:I88)</f>
        <v>-0.40978999375000003</v>
      </c>
      <c r="K90" s="103">
        <f>STDEV(I67:I76,I79:I88)/SQRT(COUNT(I67:I76,I79:I88))</f>
        <v>1.3881364220803576</v>
      </c>
      <c r="S90" s="1"/>
    </row>
    <row r="91" spans="1:19" x14ac:dyDescent="0.25">
      <c r="C91" s="290">
        <v>0.3266</v>
      </c>
      <c r="D91" s="752" t="s">
        <v>283</v>
      </c>
      <c r="E91" s="500">
        <f>AVERAGE(C91:C93)</f>
        <v>0.31555</v>
      </c>
      <c r="F91" s="500">
        <f>129.49*E91 - 9.067</f>
        <v>31.793569500000004</v>
      </c>
      <c r="G91" s="500">
        <v>33.522597500000003</v>
      </c>
      <c r="H91" s="500">
        <f>AVERAGE(F91:G91)</f>
        <v>32.658083500000004</v>
      </c>
      <c r="I91" s="291">
        <f>H91-30.55</f>
        <v>2.1080835000000029</v>
      </c>
      <c r="S91" s="1"/>
    </row>
    <row r="92" spans="1:19" x14ac:dyDescent="0.25">
      <c r="C92" s="292">
        <v>0.30449999999999999</v>
      </c>
      <c r="D92" s="753">
        <v>8946</v>
      </c>
      <c r="E92" s="113"/>
      <c r="F92" s="113"/>
      <c r="G92" s="113"/>
      <c r="H92" s="113"/>
      <c r="I92" s="293"/>
      <c r="S92" s="1"/>
    </row>
    <row r="93" spans="1:19" x14ac:dyDescent="0.25">
      <c r="C93" s="292"/>
      <c r="D93" s="754"/>
      <c r="E93" s="113"/>
      <c r="F93" s="113"/>
      <c r="G93" s="113"/>
      <c r="H93" s="113"/>
      <c r="I93" s="293"/>
      <c r="S93" s="1"/>
    </row>
    <row r="94" spans="1:19" x14ac:dyDescent="0.25">
      <c r="C94" s="292">
        <v>0.38450000000000001</v>
      </c>
      <c r="D94" s="753" t="s">
        <v>283</v>
      </c>
      <c r="E94" s="113">
        <f>AVERAGE(C94:C96)</f>
        <v>0.37514999999999998</v>
      </c>
      <c r="F94" s="113">
        <f>129.49*E94 - 9.067</f>
        <v>39.511173499999998</v>
      </c>
      <c r="G94" s="113">
        <v>36.676008500000002</v>
      </c>
      <c r="H94" s="113">
        <f>AVERAGE(F94:G94)</f>
        <v>38.093591000000004</v>
      </c>
      <c r="I94" s="293">
        <f>H94-30.55</f>
        <v>7.5435910000000028</v>
      </c>
      <c r="S94" s="1"/>
    </row>
    <row r="95" spans="1:19" x14ac:dyDescent="0.25">
      <c r="C95" s="292">
        <v>0.36580000000000001</v>
      </c>
      <c r="D95" s="753">
        <v>8949</v>
      </c>
      <c r="E95" s="113"/>
      <c r="F95" s="113"/>
      <c r="G95" s="113"/>
      <c r="H95" s="113"/>
      <c r="I95" s="293"/>
      <c r="S95" s="1"/>
    </row>
    <row r="96" spans="1:19" x14ac:dyDescent="0.25">
      <c r="C96" s="292"/>
      <c r="D96" s="754"/>
      <c r="E96" s="113"/>
      <c r="F96" s="113"/>
      <c r="G96" s="113"/>
      <c r="H96" s="113"/>
      <c r="I96" s="293"/>
      <c r="S96" s="1"/>
    </row>
    <row r="97" spans="3:11" x14ac:dyDescent="0.25">
      <c r="C97" s="292">
        <v>0.30769999999999997</v>
      </c>
      <c r="D97" s="753" t="s">
        <v>283</v>
      </c>
      <c r="E97" s="113">
        <f>AVERAGE(C97:C99)</f>
        <v>0.30149999999999999</v>
      </c>
      <c r="F97" s="113">
        <f>129.49*E97 - 9.067</f>
        <v>29.974235</v>
      </c>
      <c r="G97" s="113">
        <v>25.068081999999997</v>
      </c>
      <c r="H97" s="113">
        <f>AVERAGE(F97:G97)</f>
        <v>27.521158499999999</v>
      </c>
      <c r="I97" s="293">
        <f>H97-30.55</f>
        <v>-3.0288415000000022</v>
      </c>
    </row>
    <row r="98" spans="3:11" x14ac:dyDescent="0.25">
      <c r="C98" s="292">
        <v>0.29530000000000001</v>
      </c>
      <c r="D98" s="753">
        <v>8935</v>
      </c>
      <c r="E98" s="113"/>
      <c r="F98" s="113"/>
      <c r="G98" s="113"/>
      <c r="H98" s="113"/>
      <c r="I98" s="293"/>
    </row>
    <row r="99" spans="3:11" ht="13.8" thickBot="1" x14ac:dyDescent="0.3">
      <c r="C99" s="298"/>
      <c r="D99" s="755"/>
      <c r="E99" s="117"/>
      <c r="F99" s="117"/>
      <c r="G99" s="117"/>
      <c r="H99" s="537">
        <f>AVERAGE(H91:H97)</f>
        <v>32.757611000000004</v>
      </c>
      <c r="I99" s="538">
        <f>AVERAGE(I91:I97)</f>
        <v>2.2076110000000013</v>
      </c>
    </row>
    <row r="100" spans="3:11" x14ac:dyDescent="0.25">
      <c r="C100" s="24">
        <v>0.3075</v>
      </c>
      <c r="D100" s="751" t="s">
        <v>288</v>
      </c>
      <c r="E100" s="25">
        <f>AVERAGE(C100:C102)</f>
        <v>0.3221</v>
      </c>
      <c r="F100" s="25">
        <f>129.49*E100 - 9.067</f>
        <v>32.641729000000005</v>
      </c>
      <c r="G100" s="25">
        <v>30.213462499999999</v>
      </c>
      <c r="H100" s="25">
        <f>AVERAGE(F100:G100)</f>
        <v>31.427595750000002</v>
      </c>
      <c r="I100" s="52">
        <f>H100-30.55</f>
        <v>0.87759575000000112</v>
      </c>
    </row>
    <row r="101" spans="3:11" x14ac:dyDescent="0.25">
      <c r="C101" s="26">
        <v>0.3367</v>
      </c>
      <c r="D101" s="738">
        <v>8403</v>
      </c>
      <c r="E101" s="21"/>
      <c r="F101" s="21"/>
      <c r="G101" s="21"/>
      <c r="H101" s="21"/>
      <c r="I101" s="35"/>
    </row>
    <row r="102" spans="3:11" x14ac:dyDescent="0.25">
      <c r="C102" s="26"/>
      <c r="D102" s="212"/>
      <c r="E102" s="21"/>
      <c r="F102" s="21"/>
      <c r="G102" s="21"/>
      <c r="H102" s="21"/>
      <c r="I102" s="35"/>
    </row>
    <row r="103" spans="3:11" x14ac:dyDescent="0.25">
      <c r="C103" s="26">
        <v>0.31619999999999998</v>
      </c>
      <c r="D103" s="738" t="s">
        <v>288</v>
      </c>
      <c r="E103" s="21">
        <f>AVERAGE(C103:C105)</f>
        <v>0.32474999999999998</v>
      </c>
      <c r="F103" s="21">
        <f>129.49*E103 - 9.067</f>
        <v>32.984877500000003</v>
      </c>
      <c r="G103" s="21">
        <v>33.269545999999998</v>
      </c>
      <c r="H103" s="21">
        <f>AVERAGE(F103:G103)</f>
        <v>33.127211750000001</v>
      </c>
      <c r="I103" s="35">
        <f>H103-30.55</f>
        <v>2.57721175</v>
      </c>
    </row>
    <row r="104" spans="3:11" x14ac:dyDescent="0.25">
      <c r="C104" s="26">
        <v>0.33329999999999999</v>
      </c>
      <c r="D104" s="738">
        <v>8410</v>
      </c>
      <c r="E104" s="21"/>
      <c r="F104" s="21"/>
      <c r="G104" s="21"/>
      <c r="H104" s="21"/>
      <c r="I104" s="35"/>
    </row>
    <row r="105" spans="3:11" x14ac:dyDescent="0.25">
      <c r="C105" s="26"/>
      <c r="D105" s="212"/>
      <c r="E105" s="21"/>
      <c r="F105" s="21"/>
      <c r="G105" s="21"/>
      <c r="H105" s="21"/>
      <c r="I105" s="35"/>
      <c r="J105" s="770" t="s">
        <v>290</v>
      </c>
      <c r="K105" s="771" t="s">
        <v>13</v>
      </c>
    </row>
    <row r="106" spans="3:11" x14ac:dyDescent="0.25">
      <c r="C106" s="26">
        <v>0.22539999999999999</v>
      </c>
      <c r="D106" s="738" t="s">
        <v>288</v>
      </c>
      <c r="E106" s="21">
        <f>AVERAGE(C106:C108)</f>
        <v>0.24629999999999999</v>
      </c>
      <c r="F106" s="21">
        <f>129.49*E106 - 9.067</f>
        <v>22.826387</v>
      </c>
      <c r="G106" s="21">
        <v>18.086456000000005</v>
      </c>
      <c r="H106" s="21">
        <f>AVERAGE(F106:G106)</f>
        <v>20.456421500000005</v>
      </c>
      <c r="I106" s="35">
        <f>H106-30.55</f>
        <v>-10.093578499999996</v>
      </c>
      <c r="J106" s="103">
        <f>AVERAGE(H91:H97,H100:H106)</f>
        <v>30.547343666666674</v>
      </c>
      <c r="K106" s="103">
        <f>STDEV(H91:H97,H100:H106)/SQRT(COUNT(H91:H97,H100:H106))</f>
        <v>2.448238423534713</v>
      </c>
    </row>
    <row r="107" spans="3:11" x14ac:dyDescent="0.25">
      <c r="C107" s="26">
        <v>0.26719999999999999</v>
      </c>
      <c r="D107" s="738">
        <v>8257</v>
      </c>
      <c r="E107" s="21"/>
      <c r="F107" s="21"/>
      <c r="G107" s="21"/>
      <c r="H107" s="21"/>
      <c r="I107" s="35"/>
      <c r="J107" s="770" t="s">
        <v>291</v>
      </c>
      <c r="K107" s="771" t="s">
        <v>13</v>
      </c>
    </row>
    <row r="108" spans="3:11" ht="13.8" thickBot="1" x14ac:dyDescent="0.3">
      <c r="C108" s="27"/>
      <c r="D108" s="515"/>
      <c r="E108" s="29"/>
      <c r="F108" s="29"/>
      <c r="G108" s="29"/>
      <c r="H108" s="756">
        <f>AVERAGE(H100:H106)</f>
        <v>28.337076333333339</v>
      </c>
      <c r="I108" s="757">
        <f>AVERAGE(I100:I106)</f>
        <v>-2.212923666666665</v>
      </c>
      <c r="J108" s="103">
        <f>AVERAGE(I91:I97,I100:I106)</f>
        <v>-2.6563333333318915E-3</v>
      </c>
      <c r="K108" s="103">
        <f>STDEV(I91:I97,I100:I106)/SQRT(COUNT(I91:I97,I100:I106))</f>
        <v>2.4482384235347205</v>
      </c>
    </row>
    <row r="109" spans="3:11" x14ac:dyDescent="0.25">
      <c r="D109" s="5"/>
    </row>
    <row r="110" spans="3:11" ht="13.8" thickBot="1" x14ac:dyDescent="0.3">
      <c r="D110" s="5"/>
    </row>
    <row r="111" spans="3:11" x14ac:dyDescent="0.25">
      <c r="D111" s="763" t="s">
        <v>214</v>
      </c>
      <c r="E111" s="764" t="s">
        <v>268</v>
      </c>
      <c r="F111" s="764" t="s">
        <v>269</v>
      </c>
      <c r="G111" s="765" t="s">
        <v>270</v>
      </c>
    </row>
    <row r="112" spans="3:11" x14ac:dyDescent="0.25">
      <c r="D112" s="766">
        <v>63.45</v>
      </c>
      <c r="E112" s="762">
        <v>59.62</v>
      </c>
      <c r="F112" s="109">
        <f>D112-62.74</f>
        <v>0.71000000000000085</v>
      </c>
      <c r="G112" s="74">
        <f>E112-62.74</f>
        <v>-3.1200000000000045</v>
      </c>
    </row>
    <row r="113" spans="4:8" x14ac:dyDescent="0.25">
      <c r="D113" s="766">
        <v>54.67</v>
      </c>
      <c r="E113" s="762">
        <v>70.75</v>
      </c>
      <c r="F113" s="109">
        <f>D113-62.74</f>
        <v>-8.07</v>
      </c>
      <c r="G113" s="74">
        <f t="shared" ref="G113:G117" si="0">E113-62.74</f>
        <v>8.009999999999998</v>
      </c>
    </row>
    <row r="114" spans="4:8" x14ac:dyDescent="0.25">
      <c r="D114" s="766">
        <v>72.760000000000005</v>
      </c>
      <c r="E114" s="762">
        <v>55.59</v>
      </c>
      <c r="F114" s="109">
        <f>D114-62.74</f>
        <v>10.020000000000003</v>
      </c>
      <c r="G114" s="74">
        <f t="shared" si="0"/>
        <v>-7.1499999999999986</v>
      </c>
    </row>
    <row r="115" spans="4:8" x14ac:dyDescent="0.25">
      <c r="D115" s="766">
        <v>60.19</v>
      </c>
      <c r="E115" s="762">
        <v>64.63</v>
      </c>
      <c r="F115" s="109">
        <f>D115-62.74</f>
        <v>-2.5500000000000043</v>
      </c>
      <c r="G115" s="74">
        <f t="shared" si="0"/>
        <v>1.8899999999999935</v>
      </c>
    </row>
    <row r="116" spans="4:8" x14ac:dyDescent="0.25">
      <c r="D116" s="766">
        <v>57.28</v>
      </c>
      <c r="E116" s="762">
        <v>67.55</v>
      </c>
      <c r="F116" s="109">
        <f>D116-62.74</f>
        <v>-5.4600000000000009</v>
      </c>
      <c r="G116" s="74">
        <f t="shared" si="0"/>
        <v>4.8099999999999952</v>
      </c>
      <c r="H116" s="104"/>
    </row>
    <row r="117" spans="4:8" x14ac:dyDescent="0.25">
      <c r="D117" s="766">
        <v>68.06</v>
      </c>
      <c r="E117" s="762">
        <v>66.48</v>
      </c>
      <c r="F117" s="109">
        <f>D117-62.74</f>
        <v>5.32</v>
      </c>
      <c r="G117" s="74">
        <f t="shared" si="0"/>
        <v>3.740000000000002</v>
      </c>
      <c r="H117" s="104"/>
    </row>
    <row r="118" spans="4:8" ht="13.8" thickBot="1" x14ac:dyDescent="0.3">
      <c r="D118" s="767">
        <f>AVERAGE(D112:D117)</f>
        <v>62.735000000000007</v>
      </c>
      <c r="E118" s="768">
        <f>AVERAGE(E112:E117)</f>
        <v>64.103333333333339</v>
      </c>
      <c r="F118" s="768">
        <f>AVERAGE(F112:F117)</f>
        <v>-5.0000000000001892E-3</v>
      </c>
      <c r="G118" s="769">
        <f>AVERAGE(G112:G117)</f>
        <v>1.3633333333333308</v>
      </c>
    </row>
    <row r="127" spans="4:8" x14ac:dyDescent="0.25">
      <c r="D127" s="5"/>
    </row>
    <row r="128" spans="4:8" x14ac:dyDescent="0.25">
      <c r="D128" s="5"/>
    </row>
    <row r="129" spans="4:4" x14ac:dyDescent="0.25">
      <c r="D129" s="5"/>
    </row>
    <row r="130" spans="4:4" x14ac:dyDescent="0.25">
      <c r="D130" s="5"/>
    </row>
    <row r="131" spans="4:4" x14ac:dyDescent="0.25">
      <c r="D131" s="5"/>
    </row>
    <row r="132" spans="4:4" x14ac:dyDescent="0.25">
      <c r="D132" s="5"/>
    </row>
    <row r="133" spans="4:4" x14ac:dyDescent="0.25">
      <c r="D133" s="5"/>
    </row>
    <row r="134" spans="4:4" x14ac:dyDescent="0.25">
      <c r="D134" s="5"/>
    </row>
    <row r="135" spans="4:4" x14ac:dyDescent="0.25">
      <c r="D135" s="5"/>
    </row>
    <row r="136" spans="4:4" x14ac:dyDescent="0.25">
      <c r="D136" s="5"/>
    </row>
    <row r="137" spans="4:4" x14ac:dyDescent="0.25">
      <c r="D137" s="5"/>
    </row>
    <row r="138" spans="4:4" x14ac:dyDescent="0.25">
      <c r="D138" s="5"/>
    </row>
    <row r="139" spans="4:4" x14ac:dyDescent="0.25">
      <c r="D139" s="5"/>
    </row>
    <row r="140" spans="4:4" x14ac:dyDescent="0.25">
      <c r="D140" s="5"/>
    </row>
    <row r="141" spans="4:4" x14ac:dyDescent="0.25">
      <c r="D141" s="5"/>
    </row>
    <row r="142" spans="4:4" x14ac:dyDescent="0.25">
      <c r="D142" s="5"/>
    </row>
    <row r="143" spans="4:4" x14ac:dyDescent="0.25">
      <c r="D143" s="5"/>
    </row>
    <row r="144" spans="4:4" x14ac:dyDescent="0.25">
      <c r="D144" s="5"/>
    </row>
    <row r="145" spans="4:4" x14ac:dyDescent="0.25">
      <c r="D145" s="5"/>
    </row>
    <row r="146" spans="4:4" x14ac:dyDescent="0.25">
      <c r="D146" s="5"/>
    </row>
    <row r="147" spans="4:4" x14ac:dyDescent="0.25">
      <c r="D147" s="5"/>
    </row>
    <row r="148" spans="4:4" x14ac:dyDescent="0.25">
      <c r="D148" s="5"/>
    </row>
    <row r="149" spans="4:4" x14ac:dyDescent="0.25">
      <c r="D149" s="5"/>
    </row>
    <row r="150" spans="4:4" x14ac:dyDescent="0.25">
      <c r="D150" s="5"/>
    </row>
    <row r="151" spans="4:4" x14ac:dyDescent="0.25">
      <c r="D151" s="5"/>
    </row>
    <row r="152" spans="4:4" x14ac:dyDescent="0.25">
      <c r="D152" s="5"/>
    </row>
    <row r="153" spans="4:4" x14ac:dyDescent="0.25">
      <c r="D153" s="5"/>
    </row>
    <row r="154" spans="4:4" x14ac:dyDescent="0.25">
      <c r="D154" s="5"/>
    </row>
    <row r="155" spans="4:4" x14ac:dyDescent="0.25">
      <c r="D155" s="5"/>
    </row>
    <row r="156" spans="4:4" x14ac:dyDescent="0.25">
      <c r="D156" s="5"/>
    </row>
    <row r="157" spans="4:4" x14ac:dyDescent="0.25">
      <c r="D157" s="5"/>
    </row>
    <row r="158" spans="4:4" x14ac:dyDescent="0.25">
      <c r="D158" s="5"/>
    </row>
    <row r="159" spans="4:4" x14ac:dyDescent="0.25">
      <c r="D159" s="5"/>
    </row>
    <row r="160" spans="4:4" x14ac:dyDescent="0.25">
      <c r="D160" s="5"/>
    </row>
    <row r="161" spans="4:4" x14ac:dyDescent="0.25">
      <c r="D161" s="5"/>
    </row>
    <row r="162" spans="4:4" x14ac:dyDescent="0.25">
      <c r="D162" s="5"/>
    </row>
    <row r="163" spans="4:4" x14ac:dyDescent="0.25">
      <c r="D163" s="5"/>
    </row>
    <row r="164" spans="4:4" x14ac:dyDescent="0.25">
      <c r="D164" s="5"/>
    </row>
    <row r="165" spans="4:4" x14ac:dyDescent="0.25">
      <c r="D165" s="5"/>
    </row>
    <row r="166" spans="4:4" x14ac:dyDescent="0.25">
      <c r="D166" s="5"/>
    </row>
    <row r="167" spans="4:4" x14ac:dyDescent="0.25">
      <c r="D167" s="5"/>
    </row>
    <row r="168" spans="4:4" x14ac:dyDescent="0.25">
      <c r="D168" s="5"/>
    </row>
    <row r="169" spans="4:4" x14ac:dyDescent="0.25">
      <c r="D169" s="5"/>
    </row>
    <row r="170" spans="4:4" x14ac:dyDescent="0.25">
      <c r="D170" s="5"/>
    </row>
    <row r="171" spans="4:4" x14ac:dyDescent="0.25">
      <c r="D171" s="5"/>
    </row>
    <row r="172" spans="4:4" x14ac:dyDescent="0.25">
      <c r="D172" s="5"/>
    </row>
    <row r="173" spans="4:4" x14ac:dyDescent="0.25">
      <c r="D173" s="5"/>
    </row>
    <row r="174" spans="4:4" x14ac:dyDescent="0.25">
      <c r="D174" s="5"/>
    </row>
    <row r="175" spans="4:4" x14ac:dyDescent="0.25">
      <c r="D175" s="5"/>
    </row>
    <row r="176" spans="4:4" x14ac:dyDescent="0.25">
      <c r="D176" s="5"/>
    </row>
    <row r="177" spans="4:4" x14ac:dyDescent="0.25">
      <c r="D177" s="5"/>
    </row>
    <row r="178" spans="4:4" x14ac:dyDescent="0.25">
      <c r="D178" s="5"/>
    </row>
    <row r="179" spans="4:4" x14ac:dyDescent="0.25">
      <c r="D179" s="5"/>
    </row>
    <row r="180" spans="4:4" x14ac:dyDescent="0.25">
      <c r="D180" s="5"/>
    </row>
    <row r="181" spans="4:4" x14ac:dyDescent="0.25">
      <c r="D181" s="5"/>
    </row>
    <row r="182" spans="4:4" x14ac:dyDescent="0.25">
      <c r="D182" s="5"/>
    </row>
    <row r="183" spans="4:4" x14ac:dyDescent="0.25">
      <c r="D183" s="5"/>
    </row>
    <row r="184" spans="4:4" x14ac:dyDescent="0.25">
      <c r="D184" s="5"/>
    </row>
    <row r="185" spans="4:4" x14ac:dyDescent="0.25">
      <c r="D185" s="5"/>
    </row>
    <row r="186" spans="4:4" x14ac:dyDescent="0.25">
      <c r="D186" s="5"/>
    </row>
    <row r="187" spans="4:4" x14ac:dyDescent="0.25">
      <c r="D187" s="5"/>
    </row>
    <row r="188" spans="4:4" x14ac:dyDescent="0.25">
      <c r="D188" s="5"/>
    </row>
    <row r="189" spans="4:4" x14ac:dyDescent="0.25">
      <c r="D189" s="5"/>
    </row>
    <row r="190" spans="4:4" x14ac:dyDescent="0.25">
      <c r="D190" s="5"/>
    </row>
    <row r="191" spans="4:4" x14ac:dyDescent="0.25">
      <c r="D191" s="5"/>
    </row>
    <row r="192" spans="4:4" x14ac:dyDescent="0.25">
      <c r="D192" s="5"/>
    </row>
    <row r="193" spans="4:4" x14ac:dyDescent="0.25">
      <c r="D193" s="5"/>
    </row>
    <row r="194" spans="4:4" x14ac:dyDescent="0.25">
      <c r="D194" s="5"/>
    </row>
    <row r="195" spans="4:4" x14ac:dyDescent="0.25">
      <c r="D195" s="5"/>
    </row>
    <row r="196" spans="4:4" x14ac:dyDescent="0.25">
      <c r="D196" s="5"/>
    </row>
    <row r="197" spans="4:4" x14ac:dyDescent="0.25">
      <c r="D197" s="5"/>
    </row>
    <row r="198" spans="4:4" x14ac:dyDescent="0.25">
      <c r="D198" s="5"/>
    </row>
    <row r="199" spans="4:4" x14ac:dyDescent="0.25">
      <c r="D199" s="5"/>
    </row>
    <row r="200" spans="4:4" x14ac:dyDescent="0.25">
      <c r="D200" s="5"/>
    </row>
    <row r="201" spans="4:4" x14ac:dyDescent="0.25">
      <c r="D201" s="5"/>
    </row>
    <row r="202" spans="4:4" x14ac:dyDescent="0.25">
      <c r="D202" s="5"/>
    </row>
    <row r="203" spans="4:4" x14ac:dyDescent="0.25">
      <c r="D203" s="5"/>
    </row>
    <row r="204" spans="4:4" x14ac:dyDescent="0.25">
      <c r="D204" s="5"/>
    </row>
    <row r="205" spans="4:4" x14ac:dyDescent="0.25">
      <c r="D205" s="5"/>
    </row>
    <row r="206" spans="4:4" x14ac:dyDescent="0.25">
      <c r="D206" s="5"/>
    </row>
    <row r="207" spans="4:4" x14ac:dyDescent="0.25">
      <c r="D207" s="5"/>
    </row>
    <row r="208" spans="4:4" x14ac:dyDescent="0.25">
      <c r="D208" s="5"/>
    </row>
    <row r="209" spans="3:6" x14ac:dyDescent="0.25">
      <c r="D209" s="5"/>
    </row>
    <row r="210" spans="3:6" x14ac:dyDescent="0.25">
      <c r="D210" s="5"/>
    </row>
    <row r="211" spans="3:6" x14ac:dyDescent="0.25">
      <c r="D211" s="1"/>
    </row>
    <row r="212" spans="3:6" x14ac:dyDescent="0.25">
      <c r="D212" s="5"/>
    </row>
    <row r="213" spans="3:6" x14ac:dyDescent="0.25">
      <c r="D213" s="51"/>
    </row>
    <row r="214" spans="3:6" x14ac:dyDescent="0.25">
      <c r="D214" s="1"/>
    </row>
    <row r="215" spans="3:6" x14ac:dyDescent="0.25">
      <c r="D215" s="5"/>
    </row>
    <row r="216" spans="3:6" x14ac:dyDescent="0.25">
      <c r="D216" s="51"/>
    </row>
    <row r="217" spans="3:6" x14ac:dyDescent="0.25">
      <c r="D217" s="1"/>
    </row>
    <row r="218" spans="3:6" x14ac:dyDescent="0.25">
      <c r="D218" s="5"/>
    </row>
    <row r="219" spans="3:6" x14ac:dyDescent="0.25">
      <c r="D219" s="51"/>
    </row>
    <row r="220" spans="3:6" x14ac:dyDescent="0.25">
      <c r="C220" s="423"/>
      <c r="D220" s="424"/>
      <c r="E220" s="425"/>
      <c r="F220" s="426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EA967-2A8A-45D8-8F84-F3888771A18D}">
  <dimension ref="A2:XFC123"/>
  <sheetViews>
    <sheetView topLeftCell="D25" workbookViewId="0">
      <selection activeCell="H35" sqref="H35"/>
    </sheetView>
  </sheetViews>
  <sheetFormatPr defaultRowHeight="13.2" x14ac:dyDescent="0.25"/>
  <cols>
    <col min="6" max="6" width="15" customWidth="1"/>
    <col min="7" max="7" width="17.21875" customWidth="1"/>
  </cols>
  <sheetData>
    <row r="2" spans="1:48" x14ac:dyDescent="0.25">
      <c r="K2" s="966" t="s">
        <v>359</v>
      </c>
      <c r="L2" s="912"/>
      <c r="M2" s="912"/>
      <c r="N2" s="912"/>
      <c r="O2" s="912"/>
      <c r="P2" s="912"/>
    </row>
    <row r="3" spans="1:48" ht="15.6" x14ac:dyDescent="0.3">
      <c r="A3" t="s">
        <v>339</v>
      </c>
      <c r="G3" s="964" t="s">
        <v>340</v>
      </c>
      <c r="H3" s="964" t="s">
        <v>207</v>
      </c>
      <c r="I3" s="964" t="s">
        <v>208</v>
      </c>
      <c r="J3" s="965" t="s">
        <v>209</v>
      </c>
      <c r="K3" s="965" t="s">
        <v>210</v>
      </c>
      <c r="L3" s="964" t="s">
        <v>211</v>
      </c>
      <c r="AO3" s="923"/>
      <c r="AQ3" s="934"/>
      <c r="AR3" s="921"/>
      <c r="AS3" s="1"/>
      <c r="AT3" s="918"/>
      <c r="AU3" s="64"/>
      <c r="AV3" s="923"/>
    </row>
    <row r="4" spans="1:48" ht="15.6" x14ac:dyDescent="0.3">
      <c r="A4" t="s">
        <v>341</v>
      </c>
      <c r="F4" s="263" t="s">
        <v>212</v>
      </c>
      <c r="G4" s="1">
        <v>107</v>
      </c>
      <c r="H4" s="263">
        <v>1240</v>
      </c>
      <c r="I4" s="263">
        <v>46800</v>
      </c>
      <c r="J4" s="263">
        <v>141000</v>
      </c>
      <c r="K4" s="945">
        <v>2.6495726495726495E-2</v>
      </c>
      <c r="L4" s="945">
        <v>3.0128205128205128</v>
      </c>
      <c r="AO4" s="923"/>
      <c r="AQ4" s="934"/>
      <c r="AR4" s="921"/>
      <c r="AS4" s="1"/>
      <c r="AT4" s="918"/>
      <c r="AU4" s="64"/>
      <c r="AV4" s="923"/>
    </row>
    <row r="5" spans="1:48" ht="15.6" x14ac:dyDescent="0.3">
      <c r="A5" t="s">
        <v>342</v>
      </c>
      <c r="F5" s="263" t="s">
        <v>212</v>
      </c>
      <c r="G5" s="1">
        <v>102</v>
      </c>
      <c r="H5" s="263">
        <v>718</v>
      </c>
      <c r="I5" s="263">
        <v>36600</v>
      </c>
      <c r="J5" s="263">
        <v>58400</v>
      </c>
      <c r="K5" s="945">
        <v>1.9617486338797813E-2</v>
      </c>
      <c r="L5" s="945">
        <v>1.5956284153005464</v>
      </c>
      <c r="N5" s="975" t="s">
        <v>267</v>
      </c>
      <c r="AO5" s="923"/>
      <c r="AQ5" s="934"/>
      <c r="AR5" s="921"/>
      <c r="AS5" s="1"/>
      <c r="AT5" s="918"/>
      <c r="AU5" s="64"/>
      <c r="AV5" s="923"/>
    </row>
    <row r="6" spans="1:48" ht="15.6" x14ac:dyDescent="0.3">
      <c r="A6" t="s">
        <v>343</v>
      </c>
      <c r="F6" s="263" t="s">
        <v>212</v>
      </c>
      <c r="G6" s="1">
        <v>106</v>
      </c>
      <c r="H6" s="263">
        <v>208</v>
      </c>
      <c r="I6" s="263">
        <v>46800</v>
      </c>
      <c r="J6" s="263">
        <v>135000</v>
      </c>
      <c r="K6" s="945">
        <v>4.4444444444444444E-3</v>
      </c>
      <c r="L6" s="945">
        <v>2.8846153846153846</v>
      </c>
      <c r="AO6" s="923"/>
      <c r="AQ6" s="934"/>
      <c r="AR6" s="921"/>
      <c r="AS6" s="1"/>
      <c r="AT6" s="918"/>
      <c r="AU6" s="64"/>
      <c r="AV6" s="923"/>
    </row>
    <row r="7" spans="1:48" ht="15.6" x14ac:dyDescent="0.3">
      <c r="A7" t="s">
        <v>344</v>
      </c>
      <c r="F7" s="263" t="s">
        <v>213</v>
      </c>
      <c r="G7" s="1">
        <v>83</v>
      </c>
      <c r="H7" s="263">
        <v>1260</v>
      </c>
      <c r="I7" s="263">
        <v>23200</v>
      </c>
      <c r="J7" s="263">
        <v>177000</v>
      </c>
      <c r="K7" s="945">
        <v>5.4310344827586204E-2</v>
      </c>
      <c r="L7" s="945">
        <v>7.6293103448275863</v>
      </c>
      <c r="AO7" s="923"/>
      <c r="AQ7" s="934"/>
      <c r="AR7" s="921"/>
      <c r="AS7" s="1"/>
      <c r="AT7" s="918"/>
      <c r="AU7" s="64"/>
      <c r="AV7" s="923"/>
    </row>
    <row r="8" spans="1:48" ht="15.6" x14ac:dyDescent="0.3">
      <c r="A8" t="s">
        <v>345</v>
      </c>
      <c r="F8" s="263" t="s">
        <v>212</v>
      </c>
      <c r="G8" s="1">
        <v>98</v>
      </c>
      <c r="H8" s="263">
        <v>680</v>
      </c>
      <c r="I8" s="263">
        <v>17400</v>
      </c>
      <c r="J8" s="263">
        <v>42700</v>
      </c>
      <c r="K8" s="945">
        <v>3.9080459770114942E-2</v>
      </c>
      <c r="L8" s="945">
        <v>2.4540229885057472</v>
      </c>
      <c r="AO8" s="923"/>
      <c r="AQ8" s="934"/>
      <c r="AR8" s="921"/>
      <c r="AS8" s="1"/>
      <c r="AT8" s="918"/>
      <c r="AU8" s="64"/>
      <c r="AV8" s="923"/>
    </row>
    <row r="9" spans="1:48" ht="15.6" x14ac:dyDescent="0.3">
      <c r="A9" t="s">
        <v>346</v>
      </c>
      <c r="F9" s="263" t="s">
        <v>213</v>
      </c>
      <c r="G9" s="1">
        <v>100</v>
      </c>
      <c r="H9" s="263">
        <v>46.3</v>
      </c>
      <c r="I9" s="263">
        <v>142</v>
      </c>
      <c r="J9" s="263">
        <v>20700</v>
      </c>
      <c r="K9" s="989">
        <v>0.32605633802816897</v>
      </c>
      <c r="L9" s="989">
        <v>145.77464788732394</v>
      </c>
      <c r="AO9" s="923"/>
      <c r="AQ9" s="934"/>
      <c r="AR9" s="921"/>
      <c r="AS9" s="1"/>
      <c r="AT9" s="918"/>
      <c r="AU9" s="64"/>
      <c r="AV9" s="923"/>
    </row>
    <row r="10" spans="1:48" ht="15.6" x14ac:dyDescent="0.3">
      <c r="A10" t="s">
        <v>347</v>
      </c>
      <c r="F10" s="263" t="s">
        <v>213</v>
      </c>
      <c r="G10" s="1">
        <v>96</v>
      </c>
      <c r="H10" s="263">
        <v>530</v>
      </c>
      <c r="I10" s="263">
        <v>17800</v>
      </c>
      <c r="J10" s="263">
        <v>157000</v>
      </c>
      <c r="K10" s="945">
        <v>2.9775280898876405E-2</v>
      </c>
      <c r="L10" s="945">
        <v>8.8202247191011232</v>
      </c>
      <c r="AO10" s="923"/>
      <c r="AQ10" s="934"/>
      <c r="AR10" s="921"/>
      <c r="AS10" s="1"/>
      <c r="AT10" s="918"/>
      <c r="AU10" s="64"/>
      <c r="AV10" s="923"/>
    </row>
    <row r="11" spans="1:48" ht="15.6" x14ac:dyDescent="0.3">
      <c r="A11" t="s">
        <v>348</v>
      </c>
      <c r="F11" s="263" t="s">
        <v>212</v>
      </c>
      <c r="G11" s="1">
        <v>115</v>
      </c>
      <c r="H11" s="263">
        <v>1590</v>
      </c>
      <c r="I11" s="263">
        <v>75800</v>
      </c>
      <c r="J11" s="263">
        <v>177000</v>
      </c>
      <c r="K11" s="945">
        <v>2.0976253298153034E-2</v>
      </c>
      <c r="L11" s="945">
        <v>2.3350923482849604</v>
      </c>
      <c r="AO11" s="923"/>
      <c r="AQ11" s="934"/>
      <c r="AR11" s="921"/>
      <c r="AS11" s="1"/>
      <c r="AT11" s="918"/>
      <c r="AU11" s="64"/>
      <c r="AV11" s="923"/>
    </row>
    <row r="12" spans="1:48" ht="15.6" x14ac:dyDescent="0.3">
      <c r="F12" s="263" t="s">
        <v>213</v>
      </c>
      <c r="G12" s="1">
        <v>93</v>
      </c>
      <c r="H12" s="263">
        <v>44</v>
      </c>
      <c r="I12" s="263">
        <v>531</v>
      </c>
      <c r="J12" s="263">
        <v>11800</v>
      </c>
      <c r="K12" s="989">
        <v>8.2862523540489647E-2</v>
      </c>
      <c r="L12" s="989">
        <v>22.222222222222221</v>
      </c>
      <c r="AJ12" s="922"/>
      <c r="AK12" s="921"/>
      <c r="AL12" s="1"/>
      <c r="AM12" s="918"/>
      <c r="AN12" s="64"/>
      <c r="AO12" s="923"/>
      <c r="AQ12" s="934"/>
      <c r="AR12" s="921"/>
      <c r="AS12" s="1"/>
      <c r="AT12" s="918"/>
      <c r="AU12" s="64"/>
      <c r="AV12" s="923"/>
    </row>
    <row r="13" spans="1:48" ht="15.6" x14ac:dyDescent="0.3">
      <c r="A13" t="s">
        <v>349</v>
      </c>
      <c r="F13" s="263" t="s">
        <v>213</v>
      </c>
      <c r="G13" s="1">
        <v>81</v>
      </c>
      <c r="H13" s="263">
        <v>816</v>
      </c>
      <c r="I13" s="263">
        <v>35900</v>
      </c>
      <c r="J13" s="263">
        <v>188000</v>
      </c>
      <c r="K13" s="945">
        <v>2.2729805013927577E-2</v>
      </c>
      <c r="L13" s="945">
        <v>5.2367688022284122</v>
      </c>
      <c r="AJ13" s="922"/>
      <c r="AK13" s="921"/>
      <c r="AL13" s="1"/>
      <c r="AM13" s="918"/>
      <c r="AN13" s="64"/>
      <c r="AO13" s="923"/>
      <c r="AQ13" s="934"/>
      <c r="AR13" s="921"/>
      <c r="AS13" s="1"/>
      <c r="AT13" s="918"/>
      <c r="AU13" s="64"/>
      <c r="AV13" s="923"/>
    </row>
    <row r="14" spans="1:48" ht="15.6" x14ac:dyDescent="0.3">
      <c r="A14" t="s">
        <v>350</v>
      </c>
      <c r="F14" s="263" t="s">
        <v>213</v>
      </c>
      <c r="G14" s="1">
        <v>99</v>
      </c>
      <c r="H14" s="263">
        <v>1320</v>
      </c>
      <c r="I14" s="263">
        <v>39900</v>
      </c>
      <c r="J14" s="263">
        <v>192000</v>
      </c>
      <c r="K14" s="945">
        <v>3.308270676691729E-2</v>
      </c>
      <c r="L14" s="945">
        <v>4.8120300751879697</v>
      </c>
      <c r="AJ14" s="924"/>
      <c r="AK14" s="914"/>
      <c r="AL14" s="1"/>
      <c r="AM14" s="918"/>
      <c r="AN14" s="925"/>
      <c r="AO14" s="925"/>
      <c r="AQ14" s="927"/>
      <c r="AR14" s="914"/>
      <c r="AS14" s="1"/>
      <c r="AT14" s="918"/>
      <c r="AU14" s="925"/>
      <c r="AV14" s="925"/>
    </row>
    <row r="15" spans="1:48" ht="15.6" x14ac:dyDescent="0.3">
      <c r="A15" t="s">
        <v>351</v>
      </c>
      <c r="F15" s="263" t="s">
        <v>213</v>
      </c>
      <c r="G15" s="1">
        <v>36</v>
      </c>
      <c r="H15" s="263">
        <v>346</v>
      </c>
      <c r="I15" s="263">
        <v>7680</v>
      </c>
      <c r="J15" s="263">
        <v>25100</v>
      </c>
      <c r="K15" s="945">
        <v>4.5052083333333333E-2</v>
      </c>
      <c r="L15" s="945">
        <v>3.2682291666666665</v>
      </c>
      <c r="AJ15" s="922"/>
      <c r="AK15" s="921"/>
      <c r="AL15" s="1"/>
      <c r="AM15" s="918"/>
      <c r="AN15" s="64"/>
      <c r="AO15" s="923"/>
      <c r="AQ15" s="934"/>
      <c r="AR15" s="921"/>
      <c r="AS15" s="1"/>
      <c r="AT15" s="918"/>
      <c r="AU15" s="64"/>
      <c r="AV15" s="923"/>
    </row>
    <row r="16" spans="1:48" ht="15.6" x14ac:dyDescent="0.3">
      <c r="F16" s="263" t="s">
        <v>213</v>
      </c>
      <c r="G16" s="1">
        <v>43</v>
      </c>
      <c r="H16" s="263">
        <v>501</v>
      </c>
      <c r="I16" s="263">
        <v>40400</v>
      </c>
      <c r="J16" s="263">
        <v>35300</v>
      </c>
      <c r="K16" s="945">
        <v>1.2400990099009902E-2</v>
      </c>
      <c r="L16" s="945">
        <v>0.87376237623762376</v>
      </c>
      <c r="AJ16" s="924"/>
      <c r="AK16" s="921"/>
      <c r="AL16" s="1"/>
      <c r="AM16" s="918"/>
      <c r="AN16" s="923"/>
      <c r="AO16" s="925"/>
      <c r="AR16" s="921"/>
      <c r="AS16" s="1"/>
      <c r="AT16" s="918"/>
      <c r="AU16" s="923"/>
      <c r="AV16" s="925"/>
    </row>
    <row r="17" spans="1:1023 1025:2047 2049:3071 3073:4095 4097:5119 5121:6143 6145:7167 7169:8191 8193:9215 9217:10239 10241:11263 11265:12287 12289:13311 13313:14335 14337:15359 15361:16383" ht="15.6" x14ac:dyDescent="0.3">
      <c r="A17" t="s">
        <v>352</v>
      </c>
      <c r="F17" s="263" t="s">
        <v>212</v>
      </c>
      <c r="G17" s="1">
        <v>157</v>
      </c>
      <c r="H17" s="263">
        <v>395</v>
      </c>
      <c r="I17" s="263">
        <v>54100</v>
      </c>
      <c r="J17" s="263">
        <v>78400</v>
      </c>
      <c r="K17" s="945">
        <v>7.3012939001848428E-3</v>
      </c>
      <c r="L17" s="945">
        <v>1.4491682070240295</v>
      </c>
      <c r="AJ17" s="922"/>
      <c r="AK17" s="921"/>
      <c r="AL17" s="1"/>
      <c r="AM17" s="919"/>
      <c r="AN17" s="923"/>
      <c r="AO17" s="923"/>
      <c r="AQ17" s="927"/>
      <c r="AR17" s="921"/>
      <c r="AS17" s="1"/>
      <c r="AT17" s="918"/>
      <c r="AU17" s="923"/>
      <c r="AV17" s="923"/>
    </row>
    <row r="18" spans="1:1023 1025:2047 2049:3071 3073:4095 4097:5119 5121:6143 6145:7167 7169:8191 8193:9215 9217:10239 10241:11263 11265:12287 12289:13311 13313:14335 14337:15359 15361:16383" ht="15.6" x14ac:dyDescent="0.3">
      <c r="A18" t="s">
        <v>353</v>
      </c>
      <c r="F18" s="263" t="s">
        <v>213</v>
      </c>
      <c r="G18" s="1">
        <v>160</v>
      </c>
      <c r="H18" s="263">
        <v>2710</v>
      </c>
      <c r="I18" s="263">
        <v>67700</v>
      </c>
      <c r="J18" s="263">
        <v>158000</v>
      </c>
      <c r="K18" s="945">
        <v>4.0029542097488921E-2</v>
      </c>
      <c r="L18" s="945">
        <v>2.3338257016248152</v>
      </c>
      <c r="AJ18" s="924"/>
      <c r="AK18" s="914"/>
      <c r="AL18" s="1"/>
      <c r="AM18" s="919"/>
      <c r="AN18" s="923"/>
      <c r="AO18" s="923"/>
      <c r="AQ18" s="927"/>
      <c r="AR18" s="914"/>
      <c r="AS18" s="1"/>
      <c r="AT18" s="918"/>
      <c r="AU18" s="923"/>
      <c r="AV18" s="923"/>
    </row>
    <row r="19" spans="1:1023 1025:2047 2049:3071 3073:4095 4097:5119 5121:6143 6145:7167 7169:8191 8193:9215 9217:10239 10241:11263 11265:12287 12289:13311 13313:14335 14337:15359 15361:16383" ht="15.6" x14ac:dyDescent="0.3">
      <c r="A19" t="s">
        <v>348</v>
      </c>
      <c r="F19" s="263" t="s">
        <v>212</v>
      </c>
      <c r="G19" s="1">
        <v>159</v>
      </c>
      <c r="H19" s="263">
        <v>1240</v>
      </c>
      <c r="I19" s="263">
        <v>82700</v>
      </c>
      <c r="J19" s="263">
        <v>195000</v>
      </c>
      <c r="K19" s="945">
        <v>1.4993954050785973E-2</v>
      </c>
      <c r="L19" s="945">
        <v>2.3579201934703748</v>
      </c>
      <c r="AJ19" s="922"/>
      <c r="AK19" s="921"/>
      <c r="AL19" s="1"/>
      <c r="AM19" s="918"/>
      <c r="AN19" s="64"/>
      <c r="AO19" s="923"/>
      <c r="AQ19" s="934"/>
      <c r="AR19" s="921"/>
      <c r="AS19" s="1"/>
      <c r="AT19" s="918"/>
      <c r="AU19" s="925"/>
      <c r="AV19" s="923"/>
    </row>
    <row r="20" spans="1:1023 1025:2047 2049:3071 3073:4095 4097:5119 5121:6143 6145:7167 7169:8191 8193:9215 9217:10239 10241:11263 11265:12287 12289:13311 13313:14335 14337:15359 15361:16383" ht="15.6" x14ac:dyDescent="0.3">
      <c r="F20" s="263" t="s">
        <v>212</v>
      </c>
      <c r="G20" s="1">
        <v>29</v>
      </c>
      <c r="H20" s="263">
        <v>547</v>
      </c>
      <c r="I20" s="263">
        <v>50100</v>
      </c>
      <c r="J20" s="263">
        <v>11200</v>
      </c>
      <c r="K20" s="945">
        <v>1.091816367265469E-2</v>
      </c>
      <c r="L20" s="945">
        <v>0.22355289421157684</v>
      </c>
      <c r="AJ20" s="924"/>
      <c r="AK20" s="921"/>
      <c r="AL20" s="1"/>
      <c r="AM20" s="918"/>
      <c r="AN20" s="923"/>
      <c r="AO20" s="923"/>
      <c r="AQ20" s="927"/>
      <c r="AR20" s="921"/>
      <c r="AS20" s="1"/>
      <c r="AT20" s="918"/>
      <c r="AU20" s="923"/>
      <c r="AV20" s="923"/>
    </row>
    <row r="21" spans="1:1023 1025:2047 2049:3071 3073:4095 4097:5119 5121:6143 6145:7167 7169:8191 8193:9215 9217:10239 10241:11263 11265:12287 12289:13311 13313:14335 14337:15359 15361:16383" ht="15.6" x14ac:dyDescent="0.3">
      <c r="F21" s="263" t="s">
        <v>212</v>
      </c>
      <c r="G21" s="1">
        <v>35</v>
      </c>
      <c r="H21" s="263">
        <v>683</v>
      </c>
      <c r="I21" s="263">
        <v>33600</v>
      </c>
      <c r="J21" s="263">
        <v>47700</v>
      </c>
      <c r="K21" s="945">
        <v>2.0327380952380951E-2</v>
      </c>
      <c r="L21" s="945">
        <v>1.4196428571428572</v>
      </c>
      <c r="AJ21" s="922"/>
      <c r="AK21" s="921"/>
      <c r="AL21" s="1"/>
      <c r="AM21" s="919"/>
      <c r="AN21" s="923"/>
      <c r="AO21" s="923"/>
      <c r="AQ21" s="934"/>
      <c r="AR21" s="921"/>
      <c r="AS21" s="1"/>
      <c r="AT21" s="918"/>
      <c r="AU21" s="64"/>
      <c r="AV21" s="923"/>
    </row>
    <row r="22" spans="1:1023 1025:2047 2049:3071 3073:4095 4097:5119 5121:6143 6145:7167 7169:8191 8193:9215 9217:10239 10241:11263 11265:12287 12289:13311 13313:14335 14337:15359 15361:16383" ht="15.6" x14ac:dyDescent="0.3">
      <c r="F22" s="263" t="s">
        <v>212</v>
      </c>
      <c r="G22" s="1">
        <v>33</v>
      </c>
      <c r="H22" s="263">
        <v>803</v>
      </c>
      <c r="I22" s="263">
        <v>38700</v>
      </c>
      <c r="J22" s="263">
        <v>28300</v>
      </c>
      <c r="K22" s="945">
        <v>2.0749354005167957E-2</v>
      </c>
      <c r="L22" s="945">
        <v>0.73126614987080107</v>
      </c>
      <c r="AJ22" s="924"/>
      <c r="AK22" s="921"/>
      <c r="AL22" s="1"/>
      <c r="AM22" s="919"/>
      <c r="AN22" s="925"/>
      <c r="AO22" s="925"/>
      <c r="AQ22" s="927"/>
      <c r="AR22" s="921"/>
      <c r="AS22" s="1"/>
      <c r="AT22" s="918"/>
      <c r="AU22" s="925"/>
      <c r="AV22" s="925"/>
    </row>
    <row r="23" spans="1:1023 1025:2047 2049:3071 3073:4095 4097:5119 5121:6143 6145:7167 7169:8191 8193:9215 9217:10239 10241:11263 11265:12287 12289:13311 13313:14335 14337:15359 15361:16383" ht="15.6" x14ac:dyDescent="0.3">
      <c r="F23" s="263" t="s">
        <v>212</v>
      </c>
      <c r="G23" s="1">
        <v>31</v>
      </c>
      <c r="H23" s="263">
        <v>786</v>
      </c>
      <c r="I23" s="263">
        <v>46200</v>
      </c>
      <c r="J23" s="263">
        <v>96100</v>
      </c>
      <c r="K23" s="945">
        <v>1.7012987012987014E-2</v>
      </c>
      <c r="L23" s="945">
        <v>2.0800865800865802</v>
      </c>
      <c r="AJ23" s="922"/>
      <c r="AK23" s="926"/>
      <c r="AL23" s="1"/>
      <c r="AM23" s="918"/>
      <c r="AN23" s="64"/>
      <c r="AO23" s="923"/>
      <c r="AQ23" s="934"/>
      <c r="AR23" s="926"/>
      <c r="AS23" s="1"/>
      <c r="AT23" s="918"/>
      <c r="AU23" s="64"/>
      <c r="AV23" s="923"/>
    </row>
    <row r="24" spans="1:1023 1025:2047 2049:3071 3073:4095 4097:5119 5121:6143 6145:7167 7169:8191 8193:9215 9217:10239 10241:11263 11265:12287 12289:13311 13313:14335 14337:15359 15361:16383" ht="15.6" x14ac:dyDescent="0.3">
      <c r="F24" s="263" t="s">
        <v>213</v>
      </c>
      <c r="G24" s="1">
        <v>34</v>
      </c>
      <c r="H24" s="263">
        <v>526</v>
      </c>
      <c r="I24" s="263">
        <v>23700</v>
      </c>
      <c r="J24" s="263">
        <v>42700</v>
      </c>
      <c r="K24" s="945">
        <v>2.2194092827004221E-2</v>
      </c>
      <c r="L24" s="945">
        <v>1.8016877637130801</v>
      </c>
      <c r="AJ24" s="924"/>
      <c r="AK24" s="914"/>
      <c r="AL24" s="1"/>
      <c r="AM24" s="918"/>
      <c r="AN24" s="923"/>
      <c r="AO24" s="923"/>
      <c r="AQ24" s="927"/>
      <c r="AR24" s="914"/>
      <c r="AS24" s="1"/>
      <c r="AT24" s="918"/>
      <c r="AU24" s="923"/>
      <c r="AV24" s="923"/>
    </row>
    <row r="25" spans="1:1023 1025:2047 2049:3071 3073:4095 4097:5119 5121:6143 6145:7167 7169:8191 8193:9215 9217:10239 10241:11263 11265:12287 12289:13311 13313:14335 14337:15359 15361:16383" ht="15.6" x14ac:dyDescent="0.3">
      <c r="F25" s="263" t="s">
        <v>213</v>
      </c>
      <c r="G25" s="1">
        <v>40</v>
      </c>
      <c r="H25" s="263">
        <v>879</v>
      </c>
      <c r="I25" s="263">
        <v>22800</v>
      </c>
      <c r="J25" s="263">
        <v>146000</v>
      </c>
      <c r="K25" s="945">
        <v>3.8552631578947366E-2</v>
      </c>
      <c r="L25" s="945">
        <v>6.4035087719298245</v>
      </c>
      <c r="AJ25" s="922"/>
      <c r="AK25" s="921"/>
      <c r="AL25" s="1"/>
      <c r="AM25" s="919"/>
      <c r="AN25" s="923"/>
      <c r="AO25" s="923"/>
      <c r="AQ25" s="934"/>
      <c r="AR25" s="921"/>
      <c r="AS25" s="1"/>
      <c r="AT25" s="918"/>
      <c r="AU25" s="923"/>
      <c r="AV25" s="923"/>
    </row>
    <row r="26" spans="1:1023 1025:2047 2049:3071 3073:4095 4097:5119 5121:6143 6145:7167 7169:8191 8193:9215 9217:10239 10241:11263 11265:12287 12289:13311 13313:14335 14337:15359 15361:16383" ht="15.6" x14ac:dyDescent="0.3">
      <c r="F26" s="263" t="s">
        <v>212</v>
      </c>
      <c r="G26" s="1">
        <v>153</v>
      </c>
      <c r="H26" s="263">
        <v>1120</v>
      </c>
      <c r="I26" s="263">
        <v>64300</v>
      </c>
      <c r="J26" s="263">
        <v>202000</v>
      </c>
      <c r="K26" s="945">
        <v>1.7418351477449457E-2</v>
      </c>
      <c r="L26" s="945">
        <v>3.1415241057542769</v>
      </c>
      <c r="AJ26" s="924"/>
      <c r="AK26" s="921"/>
      <c r="AL26" s="1"/>
      <c r="AM26" s="919"/>
      <c r="AN26" s="923"/>
      <c r="AO26" s="923"/>
      <c r="AQ26" s="927"/>
      <c r="AR26" s="921"/>
      <c r="AS26" s="1"/>
      <c r="AT26" s="918"/>
      <c r="AU26" s="923"/>
      <c r="AV26" s="923"/>
    </row>
    <row r="27" spans="1:1023 1025:2047 2049:3071 3073:4095 4097:5119 5121:6143 6145:7167 7169:8191 8193:9215 9217:10239 10241:11263 11265:12287 12289:13311 13313:14335 14337:15359 15361:16383" ht="15.6" x14ac:dyDescent="0.3">
      <c r="F27" s="263" t="s">
        <v>213</v>
      </c>
      <c r="G27" s="1">
        <v>158</v>
      </c>
      <c r="H27" s="263">
        <v>636</v>
      </c>
      <c r="I27" s="263">
        <v>26300</v>
      </c>
      <c r="J27" s="263">
        <v>81400</v>
      </c>
      <c r="K27" s="945">
        <v>2.4182509505703421E-2</v>
      </c>
      <c r="L27" s="945">
        <v>3.0950570342205324</v>
      </c>
      <c r="AJ27" s="922"/>
      <c r="AK27" s="926"/>
      <c r="AL27" s="1"/>
      <c r="AM27" s="918"/>
      <c r="AN27" s="64"/>
      <c r="AO27" s="923"/>
      <c r="AQ27" s="934"/>
      <c r="AR27" s="926"/>
      <c r="AS27" s="1"/>
      <c r="AT27" s="918"/>
      <c r="AU27" s="64"/>
      <c r="AV27" s="923"/>
    </row>
    <row r="28" spans="1:1023 1025:2047 2049:3071 3073:4095 4097:5119 5121:6143 6145:7167 7169:8191 8193:9215 9217:10239 10241:11263 11265:12287 12289:13311 13313:14335 14337:15359 15361:16383" ht="15.6" x14ac:dyDescent="0.3">
      <c r="F28" s="263" t="s">
        <v>213</v>
      </c>
      <c r="G28" s="1">
        <v>156</v>
      </c>
      <c r="H28" s="263">
        <v>383</v>
      </c>
      <c r="I28" s="263">
        <v>49500</v>
      </c>
      <c r="J28" s="263">
        <v>89000</v>
      </c>
      <c r="K28" s="945">
        <v>7.7373737373737372E-3</v>
      </c>
      <c r="L28" s="945">
        <v>1.797979797979798</v>
      </c>
      <c r="AJ28" s="924"/>
      <c r="AK28" s="914"/>
      <c r="AL28" s="1"/>
      <c r="AM28" s="918"/>
      <c r="AN28" s="925"/>
      <c r="AO28" s="925"/>
      <c r="AQ28" s="927"/>
      <c r="AR28" s="914"/>
      <c r="AS28" s="1"/>
      <c r="AT28" s="918"/>
      <c r="AU28" s="925"/>
      <c r="AV28" s="925"/>
    </row>
    <row r="29" spans="1:1023 1025:2047 2049:3071 3073:4095 4097:5119 5121:6143 6145:7167 7169:8191 8193:9215 9217:10239 10241:11263 11265:12287 12289:13311 13313:14335 14337:15359 15361:16383" x14ac:dyDescent="0.25">
      <c r="A29" s="55"/>
      <c r="C29" s="55"/>
      <c r="E29" s="55"/>
      <c r="G29" s="55"/>
      <c r="I29" s="55"/>
      <c r="K29" s="55"/>
      <c r="M29" s="55"/>
      <c r="O29" s="55"/>
      <c r="Q29" s="55"/>
      <c r="S29" s="55"/>
      <c r="U29" s="55"/>
      <c r="W29" s="55"/>
      <c r="Y29" s="55"/>
      <c r="AA29" s="55"/>
      <c r="AC29" s="55"/>
      <c r="AE29" s="55"/>
      <c r="AG29" s="55"/>
      <c r="AI29" s="55"/>
      <c r="AK29" s="55"/>
      <c r="AM29" s="55"/>
      <c r="AO29" s="55"/>
      <c r="AQ29" s="55"/>
      <c r="AS29" s="55"/>
      <c r="AU29" s="55"/>
      <c r="AW29" s="55"/>
      <c r="AY29" s="55"/>
      <c r="BA29" s="55"/>
      <c r="BC29" s="55"/>
      <c r="BE29" s="55"/>
      <c r="BG29" s="55"/>
      <c r="BI29" s="55"/>
      <c r="BK29" s="55"/>
      <c r="BM29" s="55"/>
      <c r="BO29" s="55"/>
      <c r="BQ29" s="55"/>
      <c r="BS29" s="55"/>
      <c r="BU29" s="55"/>
      <c r="BW29" s="55"/>
      <c r="BY29" s="55"/>
      <c r="CA29" s="55"/>
      <c r="CC29" s="55"/>
      <c r="CE29" s="55"/>
      <c r="CG29" s="55"/>
      <c r="CI29" s="55"/>
      <c r="CK29" s="55"/>
      <c r="CM29" s="55"/>
      <c r="CO29" s="55"/>
      <c r="CQ29" s="55"/>
      <c r="CS29" s="55"/>
      <c r="CU29" s="55"/>
      <c r="CW29" s="55"/>
      <c r="CY29" s="55"/>
      <c r="DA29" s="55"/>
      <c r="DC29" s="55"/>
      <c r="DE29" s="55"/>
      <c r="DG29" s="55"/>
      <c r="DI29" s="55"/>
      <c r="DK29" s="55"/>
      <c r="DM29" s="55"/>
      <c r="DO29" s="55"/>
      <c r="DQ29" s="55"/>
      <c r="DS29" s="55"/>
      <c r="DU29" s="55"/>
      <c r="DW29" s="55"/>
      <c r="DY29" s="55"/>
      <c r="EA29" s="55"/>
      <c r="EC29" s="55"/>
      <c r="EE29" s="55"/>
      <c r="EG29" s="55"/>
      <c r="EI29" s="55"/>
      <c r="EK29" s="55"/>
      <c r="EM29" s="55"/>
      <c r="EO29" s="55"/>
      <c r="EQ29" s="55"/>
      <c r="ES29" s="55"/>
      <c r="EU29" s="55"/>
      <c r="EW29" s="55"/>
      <c r="EY29" s="55"/>
      <c r="FA29" s="55"/>
      <c r="FC29" s="55"/>
      <c r="FE29" s="55"/>
      <c r="FG29" s="55"/>
      <c r="FI29" s="55"/>
      <c r="FK29" s="55"/>
      <c r="FM29" s="55"/>
      <c r="FO29" s="55"/>
      <c r="FQ29" s="55"/>
      <c r="FS29" s="55"/>
      <c r="FU29" s="55"/>
      <c r="FW29" s="55"/>
      <c r="FY29" s="55"/>
      <c r="GA29" s="55"/>
      <c r="GC29" s="55"/>
      <c r="GE29" s="55"/>
      <c r="GG29" s="55"/>
      <c r="GI29" s="55"/>
      <c r="GK29" s="55"/>
      <c r="GM29" s="55"/>
      <c r="GO29" s="55"/>
      <c r="GQ29" s="55"/>
      <c r="GS29" s="55"/>
      <c r="GU29" s="55"/>
      <c r="GW29" s="55"/>
      <c r="GY29" s="55"/>
      <c r="HA29" s="55"/>
      <c r="HC29" s="55"/>
      <c r="HE29" s="55"/>
      <c r="HG29" s="55"/>
      <c r="HI29" s="55"/>
      <c r="HK29" s="55"/>
      <c r="HM29" s="55"/>
      <c r="HO29" s="55"/>
      <c r="HQ29" s="55"/>
      <c r="HS29" s="55"/>
      <c r="HU29" s="55"/>
      <c r="HW29" s="55"/>
      <c r="HY29" s="55"/>
      <c r="IA29" s="55"/>
      <c r="IC29" s="55"/>
      <c r="IE29" s="55"/>
      <c r="IG29" s="55"/>
      <c r="II29" s="55"/>
      <c r="IK29" s="55"/>
      <c r="IM29" s="55"/>
      <c r="IO29" s="55"/>
      <c r="IQ29" s="55"/>
      <c r="IS29" s="55"/>
      <c r="IU29" s="55"/>
      <c r="IW29" s="55"/>
      <c r="IY29" s="55"/>
      <c r="JA29" s="55"/>
      <c r="JC29" s="55"/>
      <c r="JE29" s="55"/>
      <c r="JG29" s="55"/>
      <c r="JI29" s="55"/>
      <c r="JK29" s="55"/>
      <c r="JM29" s="55"/>
      <c r="JO29" s="55"/>
      <c r="JQ29" s="55"/>
      <c r="JS29" s="55"/>
      <c r="JU29" s="55"/>
      <c r="JW29" s="55"/>
      <c r="JY29" s="55"/>
      <c r="KA29" s="55"/>
      <c r="KC29" s="55"/>
      <c r="KE29" s="55"/>
      <c r="KG29" s="55"/>
      <c r="KI29" s="55"/>
      <c r="KK29" s="55"/>
      <c r="KM29" s="55"/>
      <c r="KO29" s="55"/>
      <c r="KQ29" s="55"/>
      <c r="KS29" s="55"/>
      <c r="KU29" s="55"/>
      <c r="KW29" s="55"/>
      <c r="KY29" s="55"/>
      <c r="LA29" s="55"/>
      <c r="LC29" s="55"/>
      <c r="LE29" s="55"/>
      <c r="LG29" s="55"/>
      <c r="LI29" s="55"/>
      <c r="LK29" s="55"/>
      <c r="LM29" s="55"/>
      <c r="LO29" s="55"/>
      <c r="LQ29" s="55"/>
      <c r="LS29" s="55"/>
      <c r="LU29" s="55"/>
      <c r="LW29" s="55"/>
      <c r="LY29" s="55"/>
      <c r="MA29" s="55"/>
      <c r="MC29" s="55"/>
      <c r="ME29" s="55"/>
      <c r="MG29" s="55"/>
      <c r="MI29" s="55"/>
      <c r="MK29" s="55"/>
      <c r="MM29" s="55"/>
      <c r="MO29" s="55"/>
      <c r="MQ29" s="55"/>
      <c r="MS29" s="55"/>
      <c r="MU29" s="55"/>
      <c r="MW29" s="55"/>
      <c r="MY29" s="55"/>
      <c r="NA29" s="55"/>
      <c r="NC29" s="55"/>
      <c r="NE29" s="55"/>
      <c r="NG29" s="55"/>
      <c r="NI29" s="55"/>
      <c r="NK29" s="55"/>
      <c r="NM29" s="55"/>
      <c r="NO29" s="55"/>
      <c r="NQ29" s="55"/>
      <c r="NS29" s="55"/>
      <c r="NU29" s="55"/>
      <c r="NW29" s="55"/>
      <c r="NY29" s="55"/>
      <c r="OA29" s="55"/>
      <c r="OC29" s="55"/>
      <c r="OE29" s="55"/>
      <c r="OG29" s="55"/>
      <c r="OI29" s="55"/>
      <c r="OK29" s="55"/>
      <c r="OM29" s="55"/>
      <c r="OO29" s="55"/>
      <c r="OQ29" s="55"/>
      <c r="OS29" s="55"/>
      <c r="OU29" s="55"/>
      <c r="OW29" s="55"/>
      <c r="OY29" s="55"/>
      <c r="PA29" s="55"/>
      <c r="PC29" s="55"/>
      <c r="PE29" s="55"/>
      <c r="PG29" s="55"/>
      <c r="PI29" s="55"/>
      <c r="PK29" s="55"/>
      <c r="PM29" s="55"/>
      <c r="PO29" s="55"/>
      <c r="PQ29" s="55"/>
      <c r="PS29" s="55"/>
      <c r="PU29" s="55"/>
      <c r="PW29" s="55"/>
      <c r="PY29" s="55"/>
      <c r="QA29" s="55"/>
      <c r="QC29" s="55"/>
      <c r="QE29" s="55"/>
      <c r="QG29" s="55"/>
      <c r="QI29" s="55"/>
      <c r="QK29" s="55"/>
      <c r="QM29" s="55"/>
      <c r="QO29" s="55"/>
      <c r="QQ29" s="55"/>
      <c r="QS29" s="55"/>
      <c r="QU29" s="55"/>
      <c r="QW29" s="55"/>
      <c r="QY29" s="55"/>
      <c r="RA29" s="55"/>
      <c r="RC29" s="55"/>
      <c r="RE29" s="55"/>
      <c r="RG29" s="55"/>
      <c r="RI29" s="55"/>
      <c r="RK29" s="55"/>
      <c r="RM29" s="55"/>
      <c r="RO29" s="55"/>
      <c r="RQ29" s="55"/>
      <c r="RS29" s="55"/>
      <c r="RU29" s="55"/>
      <c r="RW29" s="55"/>
      <c r="RY29" s="55"/>
      <c r="SA29" s="55"/>
      <c r="SC29" s="55"/>
      <c r="SE29" s="55"/>
      <c r="SG29" s="55"/>
      <c r="SI29" s="55"/>
      <c r="SK29" s="55"/>
      <c r="SM29" s="55"/>
      <c r="SO29" s="55"/>
      <c r="SQ29" s="55"/>
      <c r="SS29" s="55"/>
      <c r="SU29" s="55"/>
      <c r="SW29" s="55"/>
      <c r="SY29" s="55"/>
      <c r="TA29" s="55"/>
      <c r="TC29" s="55"/>
      <c r="TE29" s="55"/>
      <c r="TG29" s="55"/>
      <c r="TI29" s="55"/>
      <c r="TK29" s="55"/>
      <c r="TM29" s="55"/>
      <c r="TO29" s="55"/>
      <c r="TQ29" s="55"/>
      <c r="TS29" s="55"/>
      <c r="TU29" s="55"/>
      <c r="TW29" s="55"/>
      <c r="TY29" s="55"/>
      <c r="UA29" s="55"/>
      <c r="UC29" s="55"/>
      <c r="UE29" s="55"/>
      <c r="UG29" s="55"/>
      <c r="UI29" s="55"/>
      <c r="UK29" s="55"/>
      <c r="UM29" s="55"/>
      <c r="UO29" s="55"/>
      <c r="UQ29" s="55"/>
      <c r="US29" s="55"/>
      <c r="UU29" s="55"/>
      <c r="UW29" s="55"/>
      <c r="UY29" s="55"/>
      <c r="VA29" s="55"/>
      <c r="VC29" s="55"/>
      <c r="VE29" s="55"/>
      <c r="VG29" s="55"/>
      <c r="VI29" s="55"/>
      <c r="VK29" s="55"/>
      <c r="VM29" s="55"/>
      <c r="VO29" s="55"/>
      <c r="VQ29" s="55"/>
      <c r="VS29" s="55"/>
      <c r="VU29" s="55"/>
      <c r="VW29" s="55"/>
      <c r="VY29" s="55"/>
      <c r="WA29" s="55"/>
      <c r="WC29" s="55"/>
      <c r="WE29" s="55"/>
      <c r="WG29" s="55"/>
      <c r="WI29" s="55"/>
      <c r="WK29" s="55"/>
      <c r="WM29" s="55"/>
      <c r="WO29" s="55"/>
      <c r="WQ29" s="55"/>
      <c r="WS29" s="55"/>
      <c r="WU29" s="55"/>
      <c r="WW29" s="55"/>
      <c r="WY29" s="55"/>
      <c r="XA29" s="55"/>
      <c r="XC29" s="55"/>
      <c r="XE29" s="55"/>
      <c r="XG29" s="55"/>
      <c r="XI29" s="55"/>
      <c r="XK29" s="55"/>
      <c r="XM29" s="55"/>
      <c r="XO29" s="55"/>
      <c r="XQ29" s="55"/>
      <c r="XS29" s="55"/>
      <c r="XU29" s="55"/>
      <c r="XW29" s="55"/>
      <c r="XY29" s="55"/>
      <c r="YA29" s="55"/>
      <c r="YC29" s="55"/>
      <c r="YE29" s="55"/>
      <c r="YG29" s="55"/>
      <c r="YI29" s="55"/>
      <c r="YK29" s="55"/>
      <c r="YM29" s="55"/>
      <c r="YO29" s="55"/>
      <c r="YQ29" s="55"/>
      <c r="YS29" s="55"/>
      <c r="YU29" s="55"/>
      <c r="YW29" s="55"/>
      <c r="YY29" s="55"/>
      <c r="ZA29" s="55"/>
      <c r="ZC29" s="55"/>
      <c r="ZE29" s="55"/>
      <c r="ZG29" s="55"/>
      <c r="ZI29" s="55"/>
      <c r="ZK29" s="55"/>
      <c r="ZM29" s="55"/>
      <c r="ZO29" s="55"/>
      <c r="ZQ29" s="55"/>
      <c r="ZS29" s="55"/>
      <c r="ZU29" s="55"/>
      <c r="ZW29" s="55"/>
      <c r="ZY29" s="55"/>
      <c r="AAA29" s="55"/>
      <c r="AAC29" s="55"/>
      <c r="AAE29" s="55"/>
      <c r="AAG29" s="55"/>
      <c r="AAI29" s="55"/>
      <c r="AAK29" s="55"/>
      <c r="AAM29" s="55"/>
      <c r="AAO29" s="55"/>
      <c r="AAQ29" s="55"/>
      <c r="AAS29" s="55"/>
      <c r="AAU29" s="55"/>
      <c r="AAW29" s="55"/>
      <c r="AAY29" s="55"/>
      <c r="ABA29" s="55"/>
      <c r="ABC29" s="55"/>
      <c r="ABE29" s="55"/>
      <c r="ABG29" s="55"/>
      <c r="ABI29" s="55"/>
      <c r="ABK29" s="55"/>
      <c r="ABM29" s="55"/>
      <c r="ABO29" s="55"/>
      <c r="ABQ29" s="55"/>
      <c r="ABS29" s="55"/>
      <c r="ABU29" s="55"/>
      <c r="ABW29" s="55"/>
      <c r="ABY29" s="55"/>
      <c r="ACA29" s="55"/>
      <c r="ACC29" s="55"/>
      <c r="ACE29" s="55"/>
      <c r="ACG29" s="55"/>
      <c r="ACI29" s="55"/>
      <c r="ACK29" s="55"/>
      <c r="ACM29" s="55"/>
      <c r="ACO29" s="55"/>
      <c r="ACQ29" s="55"/>
      <c r="ACS29" s="55"/>
      <c r="ACU29" s="55"/>
      <c r="ACW29" s="55"/>
      <c r="ACY29" s="55"/>
      <c r="ADA29" s="55"/>
      <c r="ADC29" s="55"/>
      <c r="ADE29" s="55"/>
      <c r="ADG29" s="55"/>
      <c r="ADI29" s="55"/>
      <c r="ADK29" s="55"/>
      <c r="ADM29" s="55"/>
      <c r="ADO29" s="55"/>
      <c r="ADQ29" s="55"/>
      <c r="ADS29" s="55"/>
      <c r="ADU29" s="55"/>
      <c r="ADW29" s="55"/>
      <c r="ADY29" s="55"/>
      <c r="AEA29" s="55"/>
      <c r="AEC29" s="55"/>
      <c r="AEE29" s="55"/>
      <c r="AEG29" s="55"/>
      <c r="AEI29" s="55"/>
      <c r="AEK29" s="55"/>
      <c r="AEM29" s="55"/>
      <c r="AEO29" s="55"/>
      <c r="AEQ29" s="55"/>
      <c r="AES29" s="55"/>
      <c r="AEU29" s="55"/>
      <c r="AEW29" s="55"/>
      <c r="AEY29" s="55"/>
      <c r="AFA29" s="55"/>
      <c r="AFC29" s="55"/>
      <c r="AFE29" s="55"/>
      <c r="AFG29" s="55"/>
      <c r="AFI29" s="55"/>
      <c r="AFK29" s="55"/>
      <c r="AFM29" s="55"/>
      <c r="AFO29" s="55"/>
      <c r="AFQ29" s="55"/>
      <c r="AFS29" s="55"/>
      <c r="AFU29" s="55"/>
      <c r="AFW29" s="55"/>
      <c r="AFY29" s="55"/>
      <c r="AGA29" s="55"/>
      <c r="AGC29" s="55"/>
      <c r="AGE29" s="55"/>
      <c r="AGG29" s="55"/>
      <c r="AGI29" s="55"/>
      <c r="AGK29" s="55"/>
      <c r="AGM29" s="55"/>
      <c r="AGO29" s="55"/>
      <c r="AGQ29" s="55"/>
      <c r="AGS29" s="55"/>
      <c r="AGU29" s="55"/>
      <c r="AGW29" s="55"/>
      <c r="AGY29" s="55"/>
      <c r="AHA29" s="55"/>
      <c r="AHC29" s="55"/>
      <c r="AHE29" s="55"/>
      <c r="AHG29" s="55"/>
      <c r="AHI29" s="55"/>
      <c r="AHK29" s="55"/>
      <c r="AHM29" s="55"/>
      <c r="AHO29" s="55"/>
      <c r="AHQ29" s="55"/>
      <c r="AHS29" s="55"/>
      <c r="AHU29" s="55"/>
      <c r="AHW29" s="55"/>
      <c r="AHY29" s="55"/>
      <c r="AIA29" s="55"/>
      <c r="AIC29" s="55"/>
      <c r="AIE29" s="55"/>
      <c r="AIG29" s="55"/>
      <c r="AII29" s="55"/>
      <c r="AIK29" s="55"/>
      <c r="AIM29" s="55"/>
      <c r="AIO29" s="55"/>
      <c r="AIQ29" s="55"/>
      <c r="AIS29" s="55"/>
      <c r="AIU29" s="55"/>
      <c r="AIW29" s="55"/>
      <c r="AIY29" s="55"/>
      <c r="AJA29" s="55"/>
      <c r="AJC29" s="55"/>
      <c r="AJE29" s="55"/>
      <c r="AJG29" s="55"/>
      <c r="AJI29" s="55"/>
      <c r="AJK29" s="55"/>
      <c r="AJM29" s="55"/>
      <c r="AJO29" s="55"/>
      <c r="AJQ29" s="55"/>
      <c r="AJS29" s="55"/>
      <c r="AJU29" s="55"/>
      <c r="AJW29" s="55"/>
      <c r="AJY29" s="55"/>
      <c r="AKA29" s="55"/>
      <c r="AKC29" s="55"/>
      <c r="AKE29" s="55"/>
      <c r="AKG29" s="55"/>
      <c r="AKI29" s="55"/>
      <c r="AKK29" s="55"/>
      <c r="AKM29" s="55"/>
      <c r="AKO29" s="55"/>
      <c r="AKQ29" s="55"/>
      <c r="AKS29" s="55"/>
      <c r="AKU29" s="55"/>
      <c r="AKW29" s="55"/>
      <c r="AKY29" s="55"/>
      <c r="ALA29" s="55"/>
      <c r="ALC29" s="55"/>
      <c r="ALE29" s="55"/>
      <c r="ALG29" s="55"/>
      <c r="ALI29" s="55"/>
      <c r="ALK29" s="55"/>
      <c r="ALM29" s="55"/>
      <c r="ALO29" s="55"/>
      <c r="ALQ29" s="55"/>
      <c r="ALS29" s="55"/>
      <c r="ALU29" s="55"/>
      <c r="ALW29" s="55"/>
      <c r="ALY29" s="55"/>
      <c r="AMA29" s="55"/>
      <c r="AMC29" s="55"/>
      <c r="AME29" s="55"/>
      <c r="AMG29" s="55"/>
      <c r="AMI29" s="55"/>
      <c r="AMK29" s="55"/>
      <c r="AMM29" s="55"/>
      <c r="AMO29" s="55"/>
      <c r="AMQ29" s="55"/>
      <c r="AMS29" s="55"/>
      <c r="AMU29" s="55"/>
      <c r="AMW29" s="55"/>
      <c r="AMY29" s="55"/>
      <c r="ANA29" s="55"/>
      <c r="ANC29" s="55"/>
      <c r="ANE29" s="55"/>
      <c r="ANG29" s="55"/>
      <c r="ANI29" s="55"/>
      <c r="ANK29" s="55"/>
      <c r="ANM29" s="55"/>
      <c r="ANO29" s="55"/>
      <c r="ANQ29" s="55"/>
      <c r="ANS29" s="55"/>
      <c r="ANU29" s="55"/>
      <c r="ANW29" s="55"/>
      <c r="ANY29" s="55"/>
      <c r="AOA29" s="55"/>
      <c r="AOC29" s="55"/>
      <c r="AOE29" s="55"/>
      <c r="AOG29" s="55"/>
      <c r="AOI29" s="55"/>
      <c r="AOK29" s="55"/>
      <c r="AOM29" s="55"/>
      <c r="AOO29" s="55"/>
      <c r="AOQ29" s="55"/>
      <c r="AOS29" s="55"/>
      <c r="AOU29" s="55"/>
      <c r="AOW29" s="55"/>
      <c r="AOY29" s="55"/>
      <c r="APA29" s="55"/>
      <c r="APC29" s="55"/>
      <c r="APE29" s="55"/>
      <c r="APG29" s="55"/>
      <c r="API29" s="55"/>
      <c r="APK29" s="55"/>
      <c r="APM29" s="55"/>
      <c r="APO29" s="55"/>
      <c r="APQ29" s="55"/>
      <c r="APS29" s="55"/>
      <c r="APU29" s="55"/>
      <c r="APW29" s="55"/>
      <c r="APY29" s="55"/>
      <c r="AQA29" s="55"/>
      <c r="AQC29" s="55"/>
      <c r="AQE29" s="55"/>
      <c r="AQG29" s="55"/>
      <c r="AQI29" s="55"/>
      <c r="AQK29" s="55"/>
      <c r="AQM29" s="55"/>
      <c r="AQO29" s="55"/>
      <c r="AQQ29" s="55"/>
      <c r="AQS29" s="55"/>
      <c r="AQU29" s="55"/>
      <c r="AQW29" s="55"/>
      <c r="AQY29" s="55"/>
      <c r="ARA29" s="55"/>
      <c r="ARC29" s="55"/>
      <c r="ARE29" s="55"/>
      <c r="ARG29" s="55"/>
      <c r="ARI29" s="55"/>
      <c r="ARK29" s="55"/>
      <c r="ARM29" s="55"/>
      <c r="ARO29" s="55"/>
      <c r="ARQ29" s="55"/>
      <c r="ARS29" s="55"/>
      <c r="ARU29" s="55"/>
      <c r="ARW29" s="55"/>
      <c r="ARY29" s="55"/>
      <c r="ASA29" s="55"/>
      <c r="ASC29" s="55"/>
      <c r="ASE29" s="55"/>
      <c r="ASG29" s="55"/>
      <c r="ASI29" s="55"/>
      <c r="ASK29" s="55"/>
      <c r="ASM29" s="55"/>
      <c r="ASO29" s="55"/>
      <c r="ASQ29" s="55"/>
      <c r="ASS29" s="55"/>
      <c r="ASU29" s="55"/>
      <c r="ASW29" s="55"/>
      <c r="ASY29" s="55"/>
      <c r="ATA29" s="55"/>
      <c r="ATC29" s="55"/>
      <c r="ATE29" s="55"/>
      <c r="ATG29" s="55"/>
      <c r="ATI29" s="55"/>
      <c r="ATK29" s="55"/>
      <c r="ATM29" s="55"/>
      <c r="ATO29" s="55"/>
      <c r="ATQ29" s="55"/>
      <c r="ATS29" s="55"/>
      <c r="ATU29" s="55"/>
      <c r="ATW29" s="55"/>
      <c r="ATY29" s="55"/>
      <c r="AUA29" s="55"/>
      <c r="AUC29" s="55"/>
      <c r="AUE29" s="55"/>
      <c r="AUG29" s="55"/>
      <c r="AUI29" s="55"/>
      <c r="AUK29" s="55"/>
      <c r="AUM29" s="55"/>
      <c r="AUO29" s="55"/>
      <c r="AUQ29" s="55"/>
      <c r="AUS29" s="55"/>
      <c r="AUU29" s="55"/>
      <c r="AUW29" s="55"/>
      <c r="AUY29" s="55"/>
      <c r="AVA29" s="55"/>
      <c r="AVC29" s="55"/>
      <c r="AVE29" s="55"/>
      <c r="AVG29" s="55"/>
      <c r="AVI29" s="55"/>
      <c r="AVK29" s="55"/>
      <c r="AVM29" s="55"/>
      <c r="AVO29" s="55"/>
      <c r="AVQ29" s="55"/>
      <c r="AVS29" s="55"/>
      <c r="AVU29" s="55"/>
      <c r="AVW29" s="55"/>
      <c r="AVY29" s="55"/>
      <c r="AWA29" s="55"/>
      <c r="AWC29" s="55"/>
      <c r="AWE29" s="55"/>
      <c r="AWG29" s="55"/>
      <c r="AWI29" s="55"/>
      <c r="AWK29" s="55"/>
      <c r="AWM29" s="55"/>
      <c r="AWO29" s="55"/>
      <c r="AWQ29" s="55"/>
      <c r="AWS29" s="55"/>
      <c r="AWU29" s="55"/>
      <c r="AWW29" s="55"/>
      <c r="AWY29" s="55"/>
      <c r="AXA29" s="55"/>
      <c r="AXC29" s="55"/>
      <c r="AXE29" s="55"/>
      <c r="AXG29" s="55"/>
      <c r="AXI29" s="55"/>
      <c r="AXK29" s="55"/>
      <c r="AXM29" s="55"/>
      <c r="AXO29" s="55"/>
      <c r="AXQ29" s="55"/>
      <c r="AXS29" s="55"/>
      <c r="AXU29" s="55"/>
      <c r="AXW29" s="55"/>
      <c r="AXY29" s="55"/>
      <c r="AYA29" s="55"/>
      <c r="AYC29" s="55"/>
      <c r="AYE29" s="55"/>
      <c r="AYG29" s="55"/>
      <c r="AYI29" s="55"/>
      <c r="AYK29" s="55"/>
      <c r="AYM29" s="55"/>
      <c r="AYO29" s="55"/>
      <c r="AYQ29" s="55"/>
      <c r="AYS29" s="55"/>
      <c r="AYU29" s="55"/>
      <c r="AYW29" s="55"/>
      <c r="AYY29" s="55"/>
      <c r="AZA29" s="55"/>
      <c r="AZC29" s="55"/>
      <c r="AZE29" s="55"/>
      <c r="AZG29" s="55"/>
      <c r="AZI29" s="55"/>
      <c r="AZK29" s="55"/>
      <c r="AZM29" s="55"/>
      <c r="AZO29" s="55"/>
      <c r="AZQ29" s="55"/>
      <c r="AZS29" s="55"/>
      <c r="AZU29" s="55"/>
      <c r="AZW29" s="55"/>
      <c r="AZY29" s="55"/>
      <c r="BAA29" s="55"/>
      <c r="BAC29" s="55"/>
      <c r="BAE29" s="55"/>
      <c r="BAG29" s="55"/>
      <c r="BAI29" s="55"/>
      <c r="BAK29" s="55"/>
      <c r="BAM29" s="55"/>
      <c r="BAO29" s="55"/>
      <c r="BAQ29" s="55"/>
      <c r="BAS29" s="55"/>
      <c r="BAU29" s="55"/>
      <c r="BAW29" s="55"/>
      <c r="BAY29" s="55"/>
      <c r="BBA29" s="55"/>
      <c r="BBC29" s="55"/>
      <c r="BBE29" s="55"/>
      <c r="BBG29" s="55"/>
      <c r="BBI29" s="55"/>
      <c r="BBK29" s="55"/>
      <c r="BBM29" s="55"/>
      <c r="BBO29" s="55"/>
      <c r="BBQ29" s="55"/>
      <c r="BBS29" s="55"/>
      <c r="BBU29" s="55"/>
      <c r="BBW29" s="55"/>
      <c r="BBY29" s="55"/>
      <c r="BCA29" s="55"/>
      <c r="BCC29" s="55"/>
      <c r="BCE29" s="55"/>
      <c r="BCG29" s="55"/>
      <c r="BCI29" s="55"/>
      <c r="BCK29" s="55"/>
      <c r="BCM29" s="55"/>
      <c r="BCO29" s="55"/>
      <c r="BCQ29" s="55"/>
      <c r="BCS29" s="55"/>
      <c r="BCU29" s="55"/>
      <c r="BCW29" s="55"/>
      <c r="BCY29" s="55"/>
      <c r="BDA29" s="55"/>
      <c r="BDC29" s="55"/>
      <c r="BDE29" s="55"/>
      <c r="BDG29" s="55"/>
      <c r="BDI29" s="55"/>
      <c r="BDK29" s="55"/>
      <c r="BDM29" s="55"/>
      <c r="BDO29" s="55"/>
      <c r="BDQ29" s="55"/>
      <c r="BDS29" s="55"/>
      <c r="BDU29" s="55"/>
      <c r="BDW29" s="55"/>
      <c r="BDY29" s="55"/>
      <c r="BEA29" s="55"/>
      <c r="BEC29" s="55"/>
      <c r="BEE29" s="55"/>
      <c r="BEG29" s="55"/>
      <c r="BEI29" s="55"/>
      <c r="BEK29" s="55"/>
      <c r="BEM29" s="55"/>
      <c r="BEO29" s="55"/>
      <c r="BEQ29" s="55"/>
      <c r="BES29" s="55"/>
      <c r="BEU29" s="55"/>
      <c r="BEW29" s="55"/>
      <c r="BEY29" s="55"/>
      <c r="BFA29" s="55"/>
      <c r="BFC29" s="55"/>
      <c r="BFE29" s="55"/>
      <c r="BFG29" s="55"/>
      <c r="BFI29" s="55"/>
      <c r="BFK29" s="55"/>
      <c r="BFM29" s="55"/>
      <c r="BFO29" s="55"/>
      <c r="BFQ29" s="55"/>
      <c r="BFS29" s="55"/>
      <c r="BFU29" s="55"/>
      <c r="BFW29" s="55"/>
      <c r="BFY29" s="55"/>
      <c r="BGA29" s="55"/>
      <c r="BGC29" s="55"/>
      <c r="BGE29" s="55"/>
      <c r="BGG29" s="55"/>
      <c r="BGI29" s="55"/>
      <c r="BGK29" s="55"/>
      <c r="BGM29" s="55"/>
      <c r="BGO29" s="55"/>
      <c r="BGQ29" s="55"/>
      <c r="BGS29" s="55"/>
      <c r="BGU29" s="55"/>
      <c r="BGW29" s="55"/>
      <c r="BGY29" s="55"/>
      <c r="BHA29" s="55"/>
      <c r="BHC29" s="55"/>
      <c r="BHE29" s="55"/>
      <c r="BHG29" s="55"/>
      <c r="BHI29" s="55"/>
      <c r="BHK29" s="55"/>
      <c r="BHM29" s="55"/>
      <c r="BHO29" s="55"/>
      <c r="BHQ29" s="55"/>
      <c r="BHS29" s="55"/>
      <c r="BHU29" s="55"/>
      <c r="BHW29" s="55"/>
      <c r="BHY29" s="55"/>
      <c r="BIA29" s="55"/>
      <c r="BIC29" s="55"/>
      <c r="BIE29" s="55"/>
      <c r="BIG29" s="55"/>
      <c r="BII29" s="55"/>
      <c r="BIK29" s="55"/>
      <c r="BIM29" s="55"/>
      <c r="BIO29" s="55"/>
      <c r="BIQ29" s="55"/>
      <c r="BIS29" s="55"/>
      <c r="BIU29" s="55"/>
      <c r="BIW29" s="55"/>
      <c r="BIY29" s="55"/>
      <c r="BJA29" s="55"/>
      <c r="BJC29" s="55"/>
      <c r="BJE29" s="55"/>
      <c r="BJG29" s="55"/>
      <c r="BJI29" s="55"/>
      <c r="BJK29" s="55"/>
      <c r="BJM29" s="55"/>
      <c r="BJO29" s="55"/>
      <c r="BJQ29" s="55"/>
      <c r="BJS29" s="55"/>
      <c r="BJU29" s="55"/>
      <c r="BJW29" s="55"/>
      <c r="BJY29" s="55"/>
      <c r="BKA29" s="55"/>
      <c r="BKC29" s="55"/>
      <c r="BKE29" s="55"/>
      <c r="BKG29" s="55"/>
      <c r="BKI29" s="55"/>
      <c r="BKK29" s="55"/>
      <c r="BKM29" s="55"/>
      <c r="BKO29" s="55"/>
      <c r="BKQ29" s="55"/>
      <c r="BKS29" s="55"/>
      <c r="BKU29" s="55"/>
      <c r="BKW29" s="55"/>
      <c r="BKY29" s="55"/>
      <c r="BLA29" s="55"/>
      <c r="BLC29" s="55"/>
      <c r="BLE29" s="55"/>
      <c r="BLG29" s="55"/>
      <c r="BLI29" s="55"/>
      <c r="BLK29" s="55"/>
      <c r="BLM29" s="55"/>
      <c r="BLO29" s="55"/>
      <c r="BLQ29" s="55"/>
      <c r="BLS29" s="55"/>
      <c r="BLU29" s="55"/>
      <c r="BLW29" s="55"/>
      <c r="BLY29" s="55"/>
      <c r="BMA29" s="55"/>
      <c r="BMC29" s="55"/>
      <c r="BME29" s="55"/>
      <c r="BMG29" s="55"/>
      <c r="BMI29" s="55"/>
      <c r="BMK29" s="55"/>
      <c r="BMM29" s="55"/>
      <c r="BMO29" s="55"/>
      <c r="BMQ29" s="55"/>
      <c r="BMS29" s="55"/>
      <c r="BMU29" s="55"/>
      <c r="BMW29" s="55"/>
      <c r="BMY29" s="55"/>
      <c r="BNA29" s="55"/>
      <c r="BNC29" s="55"/>
      <c r="BNE29" s="55"/>
      <c r="BNG29" s="55"/>
      <c r="BNI29" s="55"/>
      <c r="BNK29" s="55"/>
      <c r="BNM29" s="55"/>
      <c r="BNO29" s="55"/>
      <c r="BNQ29" s="55"/>
      <c r="BNS29" s="55"/>
      <c r="BNU29" s="55"/>
      <c r="BNW29" s="55"/>
      <c r="BNY29" s="55"/>
      <c r="BOA29" s="55"/>
      <c r="BOC29" s="55"/>
      <c r="BOE29" s="55"/>
      <c r="BOG29" s="55"/>
      <c r="BOI29" s="55"/>
      <c r="BOK29" s="55"/>
      <c r="BOM29" s="55"/>
      <c r="BOO29" s="55"/>
      <c r="BOQ29" s="55"/>
      <c r="BOS29" s="55"/>
      <c r="BOU29" s="55"/>
      <c r="BOW29" s="55"/>
      <c r="BOY29" s="55"/>
      <c r="BPA29" s="55"/>
      <c r="BPC29" s="55"/>
      <c r="BPE29" s="55"/>
      <c r="BPG29" s="55"/>
      <c r="BPI29" s="55"/>
      <c r="BPK29" s="55"/>
      <c r="BPM29" s="55"/>
      <c r="BPO29" s="55"/>
      <c r="BPQ29" s="55"/>
      <c r="BPS29" s="55"/>
      <c r="BPU29" s="55"/>
      <c r="BPW29" s="55"/>
      <c r="BPY29" s="55"/>
      <c r="BQA29" s="55"/>
      <c r="BQC29" s="55"/>
      <c r="BQE29" s="55"/>
      <c r="BQG29" s="55"/>
      <c r="BQI29" s="55"/>
      <c r="BQK29" s="55"/>
      <c r="BQM29" s="55"/>
      <c r="BQO29" s="55"/>
      <c r="BQQ29" s="55"/>
      <c r="BQS29" s="55"/>
      <c r="BQU29" s="55"/>
      <c r="BQW29" s="55"/>
      <c r="BQY29" s="55"/>
      <c r="BRA29" s="55"/>
      <c r="BRC29" s="55"/>
      <c r="BRE29" s="55"/>
      <c r="BRG29" s="55"/>
      <c r="BRI29" s="55"/>
      <c r="BRK29" s="55"/>
      <c r="BRM29" s="55"/>
      <c r="BRO29" s="55"/>
      <c r="BRQ29" s="55"/>
      <c r="BRS29" s="55"/>
      <c r="BRU29" s="55"/>
      <c r="BRW29" s="55"/>
      <c r="BRY29" s="55"/>
      <c r="BSA29" s="55"/>
      <c r="BSC29" s="55"/>
      <c r="BSE29" s="55"/>
      <c r="BSG29" s="55"/>
      <c r="BSI29" s="55"/>
      <c r="BSK29" s="55"/>
      <c r="BSM29" s="55"/>
      <c r="BSO29" s="55"/>
      <c r="BSQ29" s="55"/>
      <c r="BSS29" s="55"/>
      <c r="BSU29" s="55"/>
      <c r="BSW29" s="55"/>
      <c r="BSY29" s="55"/>
      <c r="BTA29" s="55"/>
      <c r="BTC29" s="55"/>
      <c r="BTE29" s="55"/>
      <c r="BTG29" s="55"/>
      <c r="BTI29" s="55"/>
      <c r="BTK29" s="55"/>
      <c r="BTM29" s="55"/>
      <c r="BTO29" s="55"/>
      <c r="BTQ29" s="55"/>
      <c r="BTS29" s="55"/>
      <c r="BTU29" s="55"/>
      <c r="BTW29" s="55"/>
      <c r="BTY29" s="55"/>
      <c r="BUA29" s="55"/>
      <c r="BUC29" s="55"/>
      <c r="BUE29" s="55"/>
      <c r="BUG29" s="55"/>
      <c r="BUI29" s="55"/>
      <c r="BUK29" s="55"/>
      <c r="BUM29" s="55"/>
      <c r="BUO29" s="55"/>
      <c r="BUQ29" s="55"/>
      <c r="BUS29" s="55"/>
      <c r="BUU29" s="55"/>
      <c r="BUW29" s="55"/>
      <c r="BUY29" s="55"/>
      <c r="BVA29" s="55"/>
      <c r="BVC29" s="55"/>
      <c r="BVE29" s="55"/>
      <c r="BVG29" s="55"/>
      <c r="BVI29" s="55"/>
      <c r="BVK29" s="55"/>
      <c r="BVM29" s="55"/>
      <c r="BVO29" s="55"/>
      <c r="BVQ29" s="55"/>
      <c r="BVS29" s="55"/>
      <c r="BVU29" s="55"/>
      <c r="BVW29" s="55"/>
      <c r="BVY29" s="55"/>
      <c r="BWA29" s="55"/>
      <c r="BWC29" s="55"/>
      <c r="BWE29" s="55"/>
      <c r="BWG29" s="55"/>
      <c r="BWI29" s="55"/>
      <c r="BWK29" s="55"/>
      <c r="BWM29" s="55"/>
      <c r="BWO29" s="55"/>
      <c r="BWQ29" s="55"/>
      <c r="BWS29" s="55"/>
      <c r="BWU29" s="55"/>
      <c r="BWW29" s="55"/>
      <c r="BWY29" s="55"/>
      <c r="BXA29" s="55"/>
      <c r="BXC29" s="55"/>
      <c r="BXE29" s="55"/>
      <c r="BXG29" s="55"/>
      <c r="BXI29" s="55"/>
      <c r="BXK29" s="55"/>
      <c r="BXM29" s="55"/>
      <c r="BXO29" s="55"/>
      <c r="BXQ29" s="55"/>
      <c r="BXS29" s="55"/>
      <c r="BXU29" s="55"/>
      <c r="BXW29" s="55"/>
      <c r="BXY29" s="55"/>
      <c r="BYA29" s="55"/>
      <c r="BYC29" s="55"/>
      <c r="BYE29" s="55"/>
      <c r="BYG29" s="55"/>
      <c r="BYI29" s="55"/>
      <c r="BYK29" s="55"/>
      <c r="BYM29" s="55"/>
      <c r="BYO29" s="55"/>
      <c r="BYQ29" s="55"/>
      <c r="BYS29" s="55"/>
      <c r="BYU29" s="55"/>
      <c r="BYW29" s="55"/>
      <c r="BYY29" s="55"/>
      <c r="BZA29" s="55"/>
      <c r="BZC29" s="55"/>
      <c r="BZE29" s="55"/>
      <c r="BZG29" s="55"/>
      <c r="BZI29" s="55"/>
      <c r="BZK29" s="55"/>
      <c r="BZM29" s="55"/>
      <c r="BZO29" s="55"/>
      <c r="BZQ29" s="55"/>
      <c r="BZS29" s="55"/>
      <c r="BZU29" s="55"/>
      <c r="BZW29" s="55"/>
      <c r="BZY29" s="55"/>
      <c r="CAA29" s="55"/>
      <c r="CAC29" s="55"/>
      <c r="CAE29" s="55"/>
      <c r="CAG29" s="55"/>
      <c r="CAI29" s="55"/>
      <c r="CAK29" s="55"/>
      <c r="CAM29" s="55"/>
      <c r="CAO29" s="55"/>
      <c r="CAQ29" s="55"/>
      <c r="CAS29" s="55"/>
      <c r="CAU29" s="55"/>
      <c r="CAW29" s="55"/>
      <c r="CAY29" s="55"/>
      <c r="CBA29" s="55"/>
      <c r="CBC29" s="55"/>
      <c r="CBE29" s="55"/>
      <c r="CBG29" s="55"/>
      <c r="CBI29" s="55"/>
      <c r="CBK29" s="55"/>
      <c r="CBM29" s="55"/>
      <c r="CBO29" s="55"/>
      <c r="CBQ29" s="55"/>
      <c r="CBS29" s="55"/>
      <c r="CBU29" s="55"/>
      <c r="CBW29" s="55"/>
      <c r="CBY29" s="55"/>
      <c r="CCA29" s="55"/>
      <c r="CCC29" s="55"/>
      <c r="CCE29" s="55"/>
      <c r="CCG29" s="55"/>
      <c r="CCI29" s="55"/>
      <c r="CCK29" s="55"/>
      <c r="CCM29" s="55"/>
      <c r="CCO29" s="55"/>
      <c r="CCQ29" s="55"/>
      <c r="CCS29" s="55"/>
      <c r="CCU29" s="55"/>
      <c r="CCW29" s="55"/>
      <c r="CCY29" s="55"/>
      <c r="CDA29" s="55"/>
      <c r="CDC29" s="55"/>
      <c r="CDE29" s="55"/>
      <c r="CDG29" s="55"/>
      <c r="CDI29" s="55"/>
      <c r="CDK29" s="55"/>
      <c r="CDM29" s="55"/>
      <c r="CDO29" s="55"/>
      <c r="CDQ29" s="55"/>
      <c r="CDS29" s="55"/>
      <c r="CDU29" s="55"/>
      <c r="CDW29" s="55"/>
      <c r="CDY29" s="55"/>
      <c r="CEA29" s="55"/>
      <c r="CEC29" s="55"/>
      <c r="CEE29" s="55"/>
      <c r="CEG29" s="55"/>
      <c r="CEI29" s="55"/>
      <c r="CEK29" s="55"/>
      <c r="CEM29" s="55"/>
      <c r="CEO29" s="55"/>
      <c r="CEQ29" s="55"/>
      <c r="CES29" s="55"/>
      <c r="CEU29" s="55"/>
      <c r="CEW29" s="55"/>
      <c r="CEY29" s="55"/>
      <c r="CFA29" s="55"/>
      <c r="CFC29" s="55"/>
      <c r="CFE29" s="55"/>
      <c r="CFG29" s="55"/>
      <c r="CFI29" s="55"/>
      <c r="CFK29" s="55"/>
      <c r="CFM29" s="55"/>
      <c r="CFO29" s="55"/>
      <c r="CFQ29" s="55"/>
      <c r="CFS29" s="55"/>
      <c r="CFU29" s="55"/>
      <c r="CFW29" s="55"/>
      <c r="CFY29" s="55"/>
      <c r="CGA29" s="55"/>
      <c r="CGC29" s="55"/>
      <c r="CGE29" s="55"/>
      <c r="CGG29" s="55"/>
      <c r="CGI29" s="55"/>
      <c r="CGK29" s="55"/>
      <c r="CGM29" s="55"/>
      <c r="CGO29" s="55"/>
      <c r="CGQ29" s="55"/>
      <c r="CGS29" s="55"/>
      <c r="CGU29" s="55"/>
      <c r="CGW29" s="55"/>
      <c r="CGY29" s="55"/>
      <c r="CHA29" s="55"/>
      <c r="CHC29" s="55"/>
      <c r="CHE29" s="55"/>
      <c r="CHG29" s="55"/>
      <c r="CHI29" s="55"/>
      <c r="CHK29" s="55"/>
      <c r="CHM29" s="55"/>
      <c r="CHO29" s="55"/>
      <c r="CHQ29" s="55"/>
      <c r="CHS29" s="55"/>
      <c r="CHU29" s="55"/>
      <c r="CHW29" s="55"/>
      <c r="CHY29" s="55"/>
      <c r="CIA29" s="55"/>
      <c r="CIC29" s="55"/>
      <c r="CIE29" s="55"/>
      <c r="CIG29" s="55"/>
      <c r="CII29" s="55"/>
      <c r="CIK29" s="55"/>
      <c r="CIM29" s="55"/>
      <c r="CIO29" s="55"/>
      <c r="CIQ29" s="55"/>
      <c r="CIS29" s="55"/>
      <c r="CIU29" s="55"/>
      <c r="CIW29" s="55"/>
      <c r="CIY29" s="55"/>
      <c r="CJA29" s="55"/>
      <c r="CJC29" s="55"/>
      <c r="CJE29" s="55"/>
      <c r="CJG29" s="55"/>
      <c r="CJI29" s="55"/>
      <c r="CJK29" s="55"/>
      <c r="CJM29" s="55"/>
      <c r="CJO29" s="55"/>
      <c r="CJQ29" s="55"/>
      <c r="CJS29" s="55"/>
      <c r="CJU29" s="55"/>
      <c r="CJW29" s="55"/>
      <c r="CJY29" s="55"/>
      <c r="CKA29" s="55"/>
      <c r="CKC29" s="55"/>
      <c r="CKE29" s="55"/>
      <c r="CKG29" s="55"/>
      <c r="CKI29" s="55"/>
      <c r="CKK29" s="55"/>
      <c r="CKM29" s="55"/>
      <c r="CKO29" s="55"/>
      <c r="CKQ29" s="55"/>
      <c r="CKS29" s="55"/>
      <c r="CKU29" s="55"/>
      <c r="CKW29" s="55"/>
      <c r="CKY29" s="55"/>
      <c r="CLA29" s="55"/>
      <c r="CLC29" s="55"/>
      <c r="CLE29" s="55"/>
      <c r="CLG29" s="55"/>
      <c r="CLI29" s="55"/>
      <c r="CLK29" s="55"/>
      <c r="CLM29" s="55"/>
      <c r="CLO29" s="55"/>
      <c r="CLQ29" s="55"/>
      <c r="CLS29" s="55"/>
      <c r="CLU29" s="55"/>
      <c r="CLW29" s="55"/>
      <c r="CLY29" s="55"/>
      <c r="CMA29" s="55"/>
      <c r="CMC29" s="55"/>
      <c r="CME29" s="55"/>
      <c r="CMG29" s="55"/>
      <c r="CMI29" s="55"/>
      <c r="CMK29" s="55"/>
      <c r="CMM29" s="55"/>
      <c r="CMO29" s="55"/>
      <c r="CMQ29" s="55"/>
      <c r="CMS29" s="55"/>
      <c r="CMU29" s="55"/>
      <c r="CMW29" s="55"/>
      <c r="CMY29" s="55"/>
      <c r="CNA29" s="55"/>
      <c r="CNC29" s="55"/>
      <c r="CNE29" s="55"/>
      <c r="CNG29" s="55"/>
      <c r="CNI29" s="55"/>
      <c r="CNK29" s="55"/>
      <c r="CNM29" s="55"/>
      <c r="CNO29" s="55"/>
      <c r="CNQ29" s="55"/>
      <c r="CNS29" s="55"/>
      <c r="CNU29" s="55"/>
      <c r="CNW29" s="55"/>
      <c r="CNY29" s="55"/>
      <c r="COA29" s="55"/>
      <c r="COC29" s="55"/>
      <c r="COE29" s="55"/>
      <c r="COG29" s="55"/>
      <c r="COI29" s="55"/>
      <c r="COK29" s="55"/>
      <c r="COM29" s="55"/>
      <c r="COO29" s="55"/>
      <c r="COQ29" s="55"/>
      <c r="COS29" s="55"/>
      <c r="COU29" s="55"/>
      <c r="COW29" s="55"/>
      <c r="COY29" s="55"/>
      <c r="CPA29" s="55"/>
      <c r="CPC29" s="55"/>
      <c r="CPE29" s="55"/>
      <c r="CPG29" s="55"/>
      <c r="CPI29" s="55"/>
      <c r="CPK29" s="55"/>
      <c r="CPM29" s="55"/>
      <c r="CPO29" s="55"/>
      <c r="CPQ29" s="55"/>
      <c r="CPS29" s="55"/>
      <c r="CPU29" s="55"/>
      <c r="CPW29" s="55"/>
      <c r="CPY29" s="55"/>
      <c r="CQA29" s="55"/>
      <c r="CQC29" s="55"/>
      <c r="CQE29" s="55"/>
      <c r="CQG29" s="55"/>
      <c r="CQI29" s="55"/>
      <c r="CQK29" s="55"/>
      <c r="CQM29" s="55"/>
      <c r="CQO29" s="55"/>
      <c r="CQQ29" s="55"/>
      <c r="CQS29" s="55"/>
      <c r="CQU29" s="55"/>
      <c r="CQW29" s="55"/>
      <c r="CQY29" s="55"/>
      <c r="CRA29" s="55"/>
      <c r="CRC29" s="55"/>
      <c r="CRE29" s="55"/>
      <c r="CRG29" s="55"/>
      <c r="CRI29" s="55"/>
      <c r="CRK29" s="55"/>
      <c r="CRM29" s="55"/>
      <c r="CRO29" s="55"/>
      <c r="CRQ29" s="55"/>
      <c r="CRS29" s="55"/>
      <c r="CRU29" s="55"/>
      <c r="CRW29" s="55"/>
      <c r="CRY29" s="55"/>
      <c r="CSA29" s="55"/>
      <c r="CSC29" s="55"/>
      <c r="CSE29" s="55"/>
      <c r="CSG29" s="55"/>
      <c r="CSI29" s="55"/>
      <c r="CSK29" s="55"/>
      <c r="CSM29" s="55"/>
      <c r="CSO29" s="55"/>
      <c r="CSQ29" s="55"/>
      <c r="CSS29" s="55"/>
      <c r="CSU29" s="55"/>
      <c r="CSW29" s="55"/>
      <c r="CSY29" s="55"/>
      <c r="CTA29" s="55"/>
      <c r="CTC29" s="55"/>
      <c r="CTE29" s="55"/>
      <c r="CTG29" s="55"/>
      <c r="CTI29" s="55"/>
      <c r="CTK29" s="55"/>
      <c r="CTM29" s="55"/>
      <c r="CTO29" s="55"/>
      <c r="CTQ29" s="55"/>
      <c r="CTS29" s="55"/>
      <c r="CTU29" s="55"/>
      <c r="CTW29" s="55"/>
      <c r="CTY29" s="55"/>
      <c r="CUA29" s="55"/>
      <c r="CUC29" s="55"/>
      <c r="CUE29" s="55"/>
      <c r="CUG29" s="55"/>
      <c r="CUI29" s="55"/>
      <c r="CUK29" s="55"/>
      <c r="CUM29" s="55"/>
      <c r="CUO29" s="55"/>
      <c r="CUQ29" s="55"/>
      <c r="CUS29" s="55"/>
      <c r="CUU29" s="55"/>
      <c r="CUW29" s="55"/>
      <c r="CUY29" s="55"/>
      <c r="CVA29" s="55"/>
      <c r="CVC29" s="55"/>
      <c r="CVE29" s="55"/>
      <c r="CVG29" s="55"/>
      <c r="CVI29" s="55"/>
      <c r="CVK29" s="55"/>
      <c r="CVM29" s="55"/>
      <c r="CVO29" s="55"/>
      <c r="CVQ29" s="55"/>
      <c r="CVS29" s="55"/>
      <c r="CVU29" s="55"/>
      <c r="CVW29" s="55"/>
      <c r="CVY29" s="55"/>
      <c r="CWA29" s="55"/>
      <c r="CWC29" s="55"/>
      <c r="CWE29" s="55"/>
      <c r="CWG29" s="55"/>
      <c r="CWI29" s="55"/>
      <c r="CWK29" s="55"/>
      <c r="CWM29" s="55"/>
      <c r="CWO29" s="55"/>
      <c r="CWQ29" s="55"/>
      <c r="CWS29" s="55"/>
      <c r="CWU29" s="55"/>
      <c r="CWW29" s="55"/>
      <c r="CWY29" s="55"/>
      <c r="CXA29" s="55"/>
      <c r="CXC29" s="55"/>
      <c r="CXE29" s="55"/>
      <c r="CXG29" s="55"/>
      <c r="CXI29" s="55"/>
      <c r="CXK29" s="55"/>
      <c r="CXM29" s="55"/>
      <c r="CXO29" s="55"/>
      <c r="CXQ29" s="55"/>
      <c r="CXS29" s="55"/>
      <c r="CXU29" s="55"/>
      <c r="CXW29" s="55"/>
      <c r="CXY29" s="55"/>
      <c r="CYA29" s="55"/>
      <c r="CYC29" s="55"/>
      <c r="CYE29" s="55"/>
      <c r="CYG29" s="55"/>
      <c r="CYI29" s="55"/>
      <c r="CYK29" s="55"/>
      <c r="CYM29" s="55"/>
      <c r="CYO29" s="55"/>
      <c r="CYQ29" s="55"/>
      <c r="CYS29" s="55"/>
      <c r="CYU29" s="55"/>
      <c r="CYW29" s="55"/>
      <c r="CYY29" s="55"/>
      <c r="CZA29" s="55"/>
      <c r="CZC29" s="55"/>
      <c r="CZE29" s="55"/>
      <c r="CZG29" s="55"/>
      <c r="CZI29" s="55"/>
      <c r="CZK29" s="55"/>
      <c r="CZM29" s="55"/>
      <c r="CZO29" s="55"/>
      <c r="CZQ29" s="55"/>
      <c r="CZS29" s="55"/>
      <c r="CZU29" s="55"/>
      <c r="CZW29" s="55"/>
      <c r="CZY29" s="55"/>
      <c r="DAA29" s="55"/>
      <c r="DAC29" s="55"/>
      <c r="DAE29" s="55"/>
      <c r="DAG29" s="55"/>
      <c r="DAI29" s="55"/>
      <c r="DAK29" s="55"/>
      <c r="DAM29" s="55"/>
      <c r="DAO29" s="55"/>
      <c r="DAQ29" s="55"/>
      <c r="DAS29" s="55"/>
      <c r="DAU29" s="55"/>
      <c r="DAW29" s="55"/>
      <c r="DAY29" s="55"/>
      <c r="DBA29" s="55"/>
      <c r="DBC29" s="55"/>
      <c r="DBE29" s="55"/>
      <c r="DBG29" s="55"/>
      <c r="DBI29" s="55"/>
      <c r="DBK29" s="55"/>
      <c r="DBM29" s="55"/>
      <c r="DBO29" s="55"/>
      <c r="DBQ29" s="55"/>
      <c r="DBS29" s="55"/>
      <c r="DBU29" s="55"/>
      <c r="DBW29" s="55"/>
      <c r="DBY29" s="55"/>
      <c r="DCA29" s="55"/>
      <c r="DCC29" s="55"/>
      <c r="DCE29" s="55"/>
      <c r="DCG29" s="55"/>
      <c r="DCI29" s="55"/>
      <c r="DCK29" s="55"/>
      <c r="DCM29" s="55"/>
      <c r="DCO29" s="55"/>
      <c r="DCQ29" s="55"/>
      <c r="DCS29" s="55"/>
      <c r="DCU29" s="55"/>
      <c r="DCW29" s="55"/>
      <c r="DCY29" s="55"/>
      <c r="DDA29" s="55"/>
      <c r="DDC29" s="55"/>
      <c r="DDE29" s="55"/>
      <c r="DDG29" s="55"/>
      <c r="DDI29" s="55"/>
      <c r="DDK29" s="55"/>
      <c r="DDM29" s="55"/>
      <c r="DDO29" s="55"/>
      <c r="DDQ29" s="55"/>
      <c r="DDS29" s="55"/>
      <c r="DDU29" s="55"/>
      <c r="DDW29" s="55"/>
      <c r="DDY29" s="55"/>
      <c r="DEA29" s="55"/>
      <c r="DEC29" s="55"/>
      <c r="DEE29" s="55"/>
      <c r="DEG29" s="55"/>
      <c r="DEI29" s="55"/>
      <c r="DEK29" s="55"/>
      <c r="DEM29" s="55"/>
      <c r="DEO29" s="55"/>
      <c r="DEQ29" s="55"/>
      <c r="DES29" s="55"/>
      <c r="DEU29" s="55"/>
      <c r="DEW29" s="55"/>
      <c r="DEY29" s="55"/>
      <c r="DFA29" s="55"/>
      <c r="DFC29" s="55"/>
      <c r="DFE29" s="55"/>
      <c r="DFG29" s="55"/>
      <c r="DFI29" s="55"/>
      <c r="DFK29" s="55"/>
      <c r="DFM29" s="55"/>
      <c r="DFO29" s="55"/>
      <c r="DFQ29" s="55"/>
      <c r="DFS29" s="55"/>
      <c r="DFU29" s="55"/>
      <c r="DFW29" s="55"/>
      <c r="DFY29" s="55"/>
      <c r="DGA29" s="55"/>
      <c r="DGC29" s="55"/>
      <c r="DGE29" s="55"/>
      <c r="DGG29" s="55"/>
      <c r="DGI29" s="55"/>
      <c r="DGK29" s="55"/>
      <c r="DGM29" s="55"/>
      <c r="DGO29" s="55"/>
      <c r="DGQ29" s="55"/>
      <c r="DGS29" s="55"/>
      <c r="DGU29" s="55"/>
      <c r="DGW29" s="55"/>
      <c r="DGY29" s="55"/>
      <c r="DHA29" s="55"/>
      <c r="DHC29" s="55"/>
      <c r="DHE29" s="55"/>
      <c r="DHG29" s="55"/>
      <c r="DHI29" s="55"/>
      <c r="DHK29" s="55"/>
      <c r="DHM29" s="55"/>
      <c r="DHO29" s="55"/>
      <c r="DHQ29" s="55"/>
      <c r="DHS29" s="55"/>
      <c r="DHU29" s="55"/>
      <c r="DHW29" s="55"/>
      <c r="DHY29" s="55"/>
      <c r="DIA29" s="55"/>
      <c r="DIC29" s="55"/>
      <c r="DIE29" s="55"/>
      <c r="DIG29" s="55"/>
      <c r="DII29" s="55"/>
      <c r="DIK29" s="55"/>
      <c r="DIM29" s="55"/>
      <c r="DIO29" s="55"/>
      <c r="DIQ29" s="55"/>
      <c r="DIS29" s="55"/>
      <c r="DIU29" s="55"/>
      <c r="DIW29" s="55"/>
      <c r="DIY29" s="55"/>
      <c r="DJA29" s="55"/>
      <c r="DJC29" s="55"/>
      <c r="DJE29" s="55"/>
      <c r="DJG29" s="55"/>
      <c r="DJI29" s="55"/>
      <c r="DJK29" s="55"/>
      <c r="DJM29" s="55"/>
      <c r="DJO29" s="55"/>
      <c r="DJQ29" s="55"/>
      <c r="DJS29" s="55"/>
      <c r="DJU29" s="55"/>
      <c r="DJW29" s="55"/>
      <c r="DJY29" s="55"/>
      <c r="DKA29" s="55"/>
      <c r="DKC29" s="55"/>
      <c r="DKE29" s="55"/>
      <c r="DKG29" s="55"/>
      <c r="DKI29" s="55"/>
      <c r="DKK29" s="55"/>
      <c r="DKM29" s="55"/>
      <c r="DKO29" s="55"/>
      <c r="DKQ29" s="55"/>
      <c r="DKS29" s="55"/>
      <c r="DKU29" s="55"/>
      <c r="DKW29" s="55"/>
      <c r="DKY29" s="55"/>
      <c r="DLA29" s="55"/>
      <c r="DLC29" s="55"/>
      <c r="DLE29" s="55"/>
      <c r="DLG29" s="55"/>
      <c r="DLI29" s="55"/>
      <c r="DLK29" s="55"/>
      <c r="DLM29" s="55"/>
      <c r="DLO29" s="55"/>
      <c r="DLQ29" s="55"/>
      <c r="DLS29" s="55"/>
      <c r="DLU29" s="55"/>
      <c r="DLW29" s="55"/>
      <c r="DLY29" s="55"/>
      <c r="DMA29" s="55"/>
      <c r="DMC29" s="55"/>
      <c r="DME29" s="55"/>
      <c r="DMG29" s="55"/>
      <c r="DMI29" s="55"/>
      <c r="DMK29" s="55"/>
      <c r="DMM29" s="55"/>
      <c r="DMO29" s="55"/>
      <c r="DMQ29" s="55"/>
      <c r="DMS29" s="55"/>
      <c r="DMU29" s="55"/>
      <c r="DMW29" s="55"/>
      <c r="DMY29" s="55"/>
      <c r="DNA29" s="55"/>
      <c r="DNC29" s="55"/>
      <c r="DNE29" s="55"/>
      <c r="DNG29" s="55"/>
      <c r="DNI29" s="55"/>
      <c r="DNK29" s="55"/>
      <c r="DNM29" s="55"/>
      <c r="DNO29" s="55"/>
      <c r="DNQ29" s="55"/>
      <c r="DNS29" s="55"/>
      <c r="DNU29" s="55"/>
      <c r="DNW29" s="55"/>
      <c r="DNY29" s="55"/>
      <c r="DOA29" s="55"/>
      <c r="DOC29" s="55"/>
      <c r="DOE29" s="55"/>
      <c r="DOG29" s="55"/>
      <c r="DOI29" s="55"/>
      <c r="DOK29" s="55"/>
      <c r="DOM29" s="55"/>
      <c r="DOO29" s="55"/>
      <c r="DOQ29" s="55"/>
      <c r="DOS29" s="55"/>
      <c r="DOU29" s="55"/>
      <c r="DOW29" s="55"/>
      <c r="DOY29" s="55"/>
      <c r="DPA29" s="55"/>
      <c r="DPC29" s="55"/>
      <c r="DPE29" s="55"/>
      <c r="DPG29" s="55"/>
      <c r="DPI29" s="55"/>
      <c r="DPK29" s="55"/>
      <c r="DPM29" s="55"/>
      <c r="DPO29" s="55"/>
      <c r="DPQ29" s="55"/>
      <c r="DPS29" s="55"/>
      <c r="DPU29" s="55"/>
      <c r="DPW29" s="55"/>
      <c r="DPY29" s="55"/>
      <c r="DQA29" s="55"/>
      <c r="DQC29" s="55"/>
      <c r="DQE29" s="55"/>
      <c r="DQG29" s="55"/>
      <c r="DQI29" s="55"/>
      <c r="DQK29" s="55"/>
      <c r="DQM29" s="55"/>
      <c r="DQO29" s="55"/>
      <c r="DQQ29" s="55"/>
      <c r="DQS29" s="55"/>
      <c r="DQU29" s="55"/>
      <c r="DQW29" s="55"/>
      <c r="DQY29" s="55"/>
      <c r="DRA29" s="55"/>
      <c r="DRC29" s="55"/>
      <c r="DRE29" s="55"/>
      <c r="DRG29" s="55"/>
      <c r="DRI29" s="55"/>
      <c r="DRK29" s="55"/>
      <c r="DRM29" s="55"/>
      <c r="DRO29" s="55"/>
      <c r="DRQ29" s="55"/>
      <c r="DRS29" s="55"/>
      <c r="DRU29" s="55"/>
      <c r="DRW29" s="55"/>
      <c r="DRY29" s="55"/>
      <c r="DSA29" s="55"/>
      <c r="DSC29" s="55"/>
      <c r="DSE29" s="55"/>
      <c r="DSG29" s="55"/>
      <c r="DSI29" s="55"/>
      <c r="DSK29" s="55"/>
      <c r="DSM29" s="55"/>
      <c r="DSO29" s="55"/>
      <c r="DSQ29" s="55"/>
      <c r="DSS29" s="55"/>
      <c r="DSU29" s="55"/>
      <c r="DSW29" s="55"/>
      <c r="DSY29" s="55"/>
      <c r="DTA29" s="55"/>
      <c r="DTC29" s="55"/>
      <c r="DTE29" s="55"/>
      <c r="DTG29" s="55"/>
      <c r="DTI29" s="55"/>
      <c r="DTK29" s="55"/>
      <c r="DTM29" s="55"/>
      <c r="DTO29" s="55"/>
      <c r="DTQ29" s="55"/>
      <c r="DTS29" s="55"/>
      <c r="DTU29" s="55"/>
      <c r="DTW29" s="55"/>
      <c r="DTY29" s="55"/>
      <c r="DUA29" s="55"/>
      <c r="DUC29" s="55"/>
      <c r="DUE29" s="55"/>
      <c r="DUG29" s="55"/>
      <c r="DUI29" s="55"/>
      <c r="DUK29" s="55"/>
      <c r="DUM29" s="55"/>
      <c r="DUO29" s="55"/>
      <c r="DUQ29" s="55"/>
      <c r="DUS29" s="55"/>
      <c r="DUU29" s="55"/>
      <c r="DUW29" s="55"/>
      <c r="DUY29" s="55"/>
      <c r="DVA29" s="55"/>
      <c r="DVC29" s="55"/>
      <c r="DVE29" s="55"/>
      <c r="DVG29" s="55"/>
      <c r="DVI29" s="55"/>
      <c r="DVK29" s="55"/>
      <c r="DVM29" s="55"/>
      <c r="DVO29" s="55"/>
      <c r="DVQ29" s="55"/>
      <c r="DVS29" s="55"/>
      <c r="DVU29" s="55"/>
      <c r="DVW29" s="55"/>
      <c r="DVY29" s="55"/>
      <c r="DWA29" s="55"/>
      <c r="DWC29" s="55"/>
      <c r="DWE29" s="55"/>
      <c r="DWG29" s="55"/>
      <c r="DWI29" s="55"/>
      <c r="DWK29" s="55"/>
      <c r="DWM29" s="55"/>
      <c r="DWO29" s="55"/>
      <c r="DWQ29" s="55"/>
      <c r="DWS29" s="55"/>
      <c r="DWU29" s="55"/>
      <c r="DWW29" s="55"/>
      <c r="DWY29" s="55"/>
      <c r="DXA29" s="55"/>
      <c r="DXC29" s="55"/>
      <c r="DXE29" s="55"/>
      <c r="DXG29" s="55"/>
      <c r="DXI29" s="55"/>
      <c r="DXK29" s="55"/>
      <c r="DXM29" s="55"/>
      <c r="DXO29" s="55"/>
      <c r="DXQ29" s="55"/>
      <c r="DXS29" s="55"/>
      <c r="DXU29" s="55"/>
      <c r="DXW29" s="55"/>
      <c r="DXY29" s="55"/>
      <c r="DYA29" s="55"/>
      <c r="DYC29" s="55"/>
      <c r="DYE29" s="55"/>
      <c r="DYG29" s="55"/>
      <c r="DYI29" s="55"/>
      <c r="DYK29" s="55"/>
      <c r="DYM29" s="55"/>
      <c r="DYO29" s="55"/>
      <c r="DYQ29" s="55"/>
      <c r="DYS29" s="55"/>
      <c r="DYU29" s="55"/>
      <c r="DYW29" s="55"/>
      <c r="DYY29" s="55"/>
      <c r="DZA29" s="55"/>
      <c r="DZC29" s="55"/>
      <c r="DZE29" s="55"/>
      <c r="DZG29" s="55"/>
      <c r="DZI29" s="55"/>
      <c r="DZK29" s="55"/>
      <c r="DZM29" s="55"/>
      <c r="DZO29" s="55"/>
      <c r="DZQ29" s="55"/>
      <c r="DZS29" s="55"/>
      <c r="DZU29" s="55"/>
      <c r="DZW29" s="55"/>
      <c r="DZY29" s="55"/>
      <c r="EAA29" s="55"/>
      <c r="EAC29" s="55"/>
      <c r="EAE29" s="55"/>
      <c r="EAG29" s="55"/>
      <c r="EAI29" s="55"/>
      <c r="EAK29" s="55"/>
      <c r="EAM29" s="55"/>
      <c r="EAO29" s="55"/>
      <c r="EAQ29" s="55"/>
      <c r="EAS29" s="55"/>
      <c r="EAU29" s="55"/>
      <c r="EAW29" s="55"/>
      <c r="EAY29" s="55"/>
      <c r="EBA29" s="55"/>
      <c r="EBC29" s="55"/>
      <c r="EBE29" s="55"/>
      <c r="EBG29" s="55"/>
      <c r="EBI29" s="55"/>
      <c r="EBK29" s="55"/>
      <c r="EBM29" s="55"/>
      <c r="EBO29" s="55"/>
      <c r="EBQ29" s="55"/>
      <c r="EBS29" s="55"/>
      <c r="EBU29" s="55"/>
      <c r="EBW29" s="55"/>
      <c r="EBY29" s="55"/>
      <c r="ECA29" s="55"/>
      <c r="ECC29" s="55"/>
      <c r="ECE29" s="55"/>
      <c r="ECG29" s="55"/>
      <c r="ECI29" s="55"/>
      <c r="ECK29" s="55"/>
      <c r="ECM29" s="55"/>
      <c r="ECO29" s="55"/>
      <c r="ECQ29" s="55"/>
      <c r="ECS29" s="55"/>
      <c r="ECU29" s="55"/>
      <c r="ECW29" s="55"/>
      <c r="ECY29" s="55"/>
      <c r="EDA29" s="55"/>
      <c r="EDC29" s="55"/>
      <c r="EDE29" s="55"/>
      <c r="EDG29" s="55"/>
      <c r="EDI29" s="55"/>
      <c r="EDK29" s="55"/>
      <c r="EDM29" s="55"/>
      <c r="EDO29" s="55"/>
      <c r="EDQ29" s="55"/>
      <c r="EDS29" s="55"/>
      <c r="EDU29" s="55"/>
      <c r="EDW29" s="55"/>
      <c r="EDY29" s="55"/>
      <c r="EEA29" s="55"/>
      <c r="EEC29" s="55"/>
      <c r="EEE29" s="55"/>
      <c r="EEG29" s="55"/>
      <c r="EEI29" s="55"/>
      <c r="EEK29" s="55"/>
      <c r="EEM29" s="55"/>
      <c r="EEO29" s="55"/>
      <c r="EEQ29" s="55"/>
      <c r="EES29" s="55"/>
      <c r="EEU29" s="55"/>
      <c r="EEW29" s="55"/>
      <c r="EEY29" s="55"/>
      <c r="EFA29" s="55"/>
      <c r="EFC29" s="55"/>
      <c r="EFE29" s="55"/>
      <c r="EFG29" s="55"/>
      <c r="EFI29" s="55"/>
      <c r="EFK29" s="55"/>
      <c r="EFM29" s="55"/>
      <c r="EFO29" s="55"/>
      <c r="EFQ29" s="55"/>
      <c r="EFS29" s="55"/>
      <c r="EFU29" s="55"/>
      <c r="EFW29" s="55"/>
      <c r="EFY29" s="55"/>
      <c r="EGA29" s="55"/>
      <c r="EGC29" s="55"/>
      <c r="EGE29" s="55"/>
      <c r="EGG29" s="55"/>
      <c r="EGI29" s="55"/>
      <c r="EGK29" s="55"/>
      <c r="EGM29" s="55"/>
      <c r="EGO29" s="55"/>
      <c r="EGQ29" s="55"/>
      <c r="EGS29" s="55"/>
      <c r="EGU29" s="55"/>
      <c r="EGW29" s="55"/>
      <c r="EGY29" s="55"/>
      <c r="EHA29" s="55"/>
      <c r="EHC29" s="55"/>
      <c r="EHE29" s="55"/>
      <c r="EHG29" s="55"/>
      <c r="EHI29" s="55"/>
      <c r="EHK29" s="55"/>
      <c r="EHM29" s="55"/>
      <c r="EHO29" s="55"/>
      <c r="EHQ29" s="55"/>
      <c r="EHS29" s="55"/>
      <c r="EHU29" s="55"/>
      <c r="EHW29" s="55"/>
      <c r="EHY29" s="55"/>
      <c r="EIA29" s="55"/>
      <c r="EIC29" s="55"/>
      <c r="EIE29" s="55"/>
      <c r="EIG29" s="55"/>
      <c r="EII29" s="55"/>
      <c r="EIK29" s="55"/>
      <c r="EIM29" s="55"/>
      <c r="EIO29" s="55"/>
      <c r="EIQ29" s="55"/>
      <c r="EIS29" s="55"/>
      <c r="EIU29" s="55"/>
      <c r="EIW29" s="55"/>
      <c r="EIY29" s="55"/>
      <c r="EJA29" s="55"/>
      <c r="EJC29" s="55"/>
      <c r="EJE29" s="55"/>
      <c r="EJG29" s="55"/>
      <c r="EJI29" s="55"/>
      <c r="EJK29" s="55"/>
      <c r="EJM29" s="55"/>
      <c r="EJO29" s="55"/>
      <c r="EJQ29" s="55"/>
      <c r="EJS29" s="55"/>
      <c r="EJU29" s="55"/>
      <c r="EJW29" s="55"/>
      <c r="EJY29" s="55"/>
      <c r="EKA29" s="55"/>
      <c r="EKC29" s="55"/>
      <c r="EKE29" s="55"/>
      <c r="EKG29" s="55"/>
      <c r="EKI29" s="55"/>
      <c r="EKK29" s="55"/>
      <c r="EKM29" s="55"/>
      <c r="EKO29" s="55"/>
      <c r="EKQ29" s="55"/>
      <c r="EKS29" s="55"/>
      <c r="EKU29" s="55"/>
      <c r="EKW29" s="55"/>
      <c r="EKY29" s="55"/>
      <c r="ELA29" s="55"/>
      <c r="ELC29" s="55"/>
      <c r="ELE29" s="55"/>
      <c r="ELG29" s="55"/>
      <c r="ELI29" s="55"/>
      <c r="ELK29" s="55"/>
      <c r="ELM29" s="55"/>
      <c r="ELO29" s="55"/>
      <c r="ELQ29" s="55"/>
      <c r="ELS29" s="55"/>
      <c r="ELU29" s="55"/>
      <c r="ELW29" s="55"/>
      <c r="ELY29" s="55"/>
      <c r="EMA29" s="55"/>
      <c r="EMC29" s="55"/>
      <c r="EME29" s="55"/>
      <c r="EMG29" s="55"/>
      <c r="EMI29" s="55"/>
      <c r="EMK29" s="55"/>
      <c r="EMM29" s="55"/>
      <c r="EMO29" s="55"/>
      <c r="EMQ29" s="55"/>
      <c r="EMS29" s="55"/>
      <c r="EMU29" s="55"/>
      <c r="EMW29" s="55"/>
      <c r="EMY29" s="55"/>
      <c r="ENA29" s="55"/>
      <c r="ENC29" s="55"/>
      <c r="ENE29" s="55"/>
      <c r="ENG29" s="55"/>
      <c r="ENI29" s="55"/>
      <c r="ENK29" s="55"/>
      <c r="ENM29" s="55"/>
      <c r="ENO29" s="55"/>
      <c r="ENQ29" s="55"/>
      <c r="ENS29" s="55"/>
      <c r="ENU29" s="55"/>
      <c r="ENW29" s="55"/>
      <c r="ENY29" s="55"/>
      <c r="EOA29" s="55"/>
      <c r="EOC29" s="55"/>
      <c r="EOE29" s="55"/>
      <c r="EOG29" s="55"/>
      <c r="EOI29" s="55"/>
      <c r="EOK29" s="55"/>
      <c r="EOM29" s="55"/>
      <c r="EOO29" s="55"/>
      <c r="EOQ29" s="55"/>
      <c r="EOS29" s="55"/>
      <c r="EOU29" s="55"/>
      <c r="EOW29" s="55"/>
      <c r="EOY29" s="55"/>
      <c r="EPA29" s="55"/>
      <c r="EPC29" s="55"/>
      <c r="EPE29" s="55"/>
      <c r="EPG29" s="55"/>
      <c r="EPI29" s="55"/>
      <c r="EPK29" s="55"/>
      <c r="EPM29" s="55"/>
      <c r="EPO29" s="55"/>
      <c r="EPQ29" s="55"/>
      <c r="EPS29" s="55"/>
      <c r="EPU29" s="55"/>
      <c r="EPW29" s="55"/>
      <c r="EPY29" s="55"/>
      <c r="EQA29" s="55"/>
      <c r="EQC29" s="55"/>
      <c r="EQE29" s="55"/>
      <c r="EQG29" s="55"/>
      <c r="EQI29" s="55"/>
      <c r="EQK29" s="55"/>
      <c r="EQM29" s="55"/>
      <c r="EQO29" s="55"/>
      <c r="EQQ29" s="55"/>
      <c r="EQS29" s="55"/>
      <c r="EQU29" s="55"/>
      <c r="EQW29" s="55"/>
      <c r="EQY29" s="55"/>
      <c r="ERA29" s="55"/>
      <c r="ERC29" s="55"/>
      <c r="ERE29" s="55"/>
      <c r="ERG29" s="55"/>
      <c r="ERI29" s="55"/>
      <c r="ERK29" s="55"/>
      <c r="ERM29" s="55"/>
      <c r="ERO29" s="55"/>
      <c r="ERQ29" s="55"/>
      <c r="ERS29" s="55"/>
      <c r="ERU29" s="55"/>
      <c r="ERW29" s="55"/>
      <c r="ERY29" s="55"/>
      <c r="ESA29" s="55"/>
      <c r="ESC29" s="55"/>
      <c r="ESE29" s="55"/>
      <c r="ESG29" s="55"/>
      <c r="ESI29" s="55"/>
      <c r="ESK29" s="55"/>
      <c r="ESM29" s="55"/>
      <c r="ESO29" s="55"/>
      <c r="ESQ29" s="55"/>
      <c r="ESS29" s="55"/>
      <c r="ESU29" s="55"/>
      <c r="ESW29" s="55"/>
      <c r="ESY29" s="55"/>
      <c r="ETA29" s="55"/>
      <c r="ETC29" s="55"/>
      <c r="ETE29" s="55"/>
      <c r="ETG29" s="55"/>
      <c r="ETI29" s="55"/>
      <c r="ETK29" s="55"/>
      <c r="ETM29" s="55"/>
      <c r="ETO29" s="55"/>
      <c r="ETQ29" s="55"/>
      <c r="ETS29" s="55"/>
      <c r="ETU29" s="55"/>
      <c r="ETW29" s="55"/>
      <c r="ETY29" s="55"/>
      <c r="EUA29" s="55"/>
      <c r="EUC29" s="55"/>
      <c r="EUE29" s="55"/>
      <c r="EUG29" s="55"/>
      <c r="EUI29" s="55"/>
      <c r="EUK29" s="55"/>
      <c r="EUM29" s="55"/>
      <c r="EUO29" s="55"/>
      <c r="EUQ29" s="55"/>
      <c r="EUS29" s="55"/>
      <c r="EUU29" s="55"/>
      <c r="EUW29" s="55"/>
      <c r="EUY29" s="55"/>
      <c r="EVA29" s="55"/>
      <c r="EVC29" s="55"/>
      <c r="EVE29" s="55"/>
      <c r="EVG29" s="55"/>
      <c r="EVI29" s="55"/>
      <c r="EVK29" s="55"/>
      <c r="EVM29" s="55"/>
      <c r="EVO29" s="55"/>
      <c r="EVQ29" s="55"/>
      <c r="EVS29" s="55"/>
      <c r="EVU29" s="55"/>
      <c r="EVW29" s="55"/>
      <c r="EVY29" s="55"/>
      <c r="EWA29" s="55"/>
      <c r="EWC29" s="55"/>
      <c r="EWE29" s="55"/>
      <c r="EWG29" s="55"/>
      <c r="EWI29" s="55"/>
      <c r="EWK29" s="55"/>
      <c r="EWM29" s="55"/>
      <c r="EWO29" s="55"/>
      <c r="EWQ29" s="55"/>
      <c r="EWS29" s="55"/>
      <c r="EWU29" s="55"/>
      <c r="EWW29" s="55"/>
      <c r="EWY29" s="55"/>
      <c r="EXA29" s="55"/>
      <c r="EXC29" s="55"/>
      <c r="EXE29" s="55"/>
      <c r="EXG29" s="55"/>
      <c r="EXI29" s="55"/>
      <c r="EXK29" s="55"/>
      <c r="EXM29" s="55"/>
      <c r="EXO29" s="55"/>
      <c r="EXQ29" s="55"/>
      <c r="EXS29" s="55"/>
      <c r="EXU29" s="55"/>
      <c r="EXW29" s="55"/>
      <c r="EXY29" s="55"/>
      <c r="EYA29" s="55"/>
      <c r="EYC29" s="55"/>
      <c r="EYE29" s="55"/>
      <c r="EYG29" s="55"/>
      <c r="EYI29" s="55"/>
      <c r="EYK29" s="55"/>
      <c r="EYM29" s="55"/>
      <c r="EYO29" s="55"/>
      <c r="EYQ29" s="55"/>
      <c r="EYS29" s="55"/>
      <c r="EYU29" s="55"/>
      <c r="EYW29" s="55"/>
      <c r="EYY29" s="55"/>
      <c r="EZA29" s="55"/>
      <c r="EZC29" s="55"/>
      <c r="EZE29" s="55"/>
      <c r="EZG29" s="55"/>
      <c r="EZI29" s="55"/>
      <c r="EZK29" s="55"/>
      <c r="EZM29" s="55"/>
      <c r="EZO29" s="55"/>
      <c r="EZQ29" s="55"/>
      <c r="EZS29" s="55"/>
      <c r="EZU29" s="55"/>
      <c r="EZW29" s="55"/>
      <c r="EZY29" s="55"/>
      <c r="FAA29" s="55"/>
      <c r="FAC29" s="55"/>
      <c r="FAE29" s="55"/>
      <c r="FAG29" s="55"/>
      <c r="FAI29" s="55"/>
      <c r="FAK29" s="55"/>
      <c r="FAM29" s="55"/>
      <c r="FAO29" s="55"/>
      <c r="FAQ29" s="55"/>
      <c r="FAS29" s="55"/>
      <c r="FAU29" s="55"/>
      <c r="FAW29" s="55"/>
      <c r="FAY29" s="55"/>
      <c r="FBA29" s="55"/>
      <c r="FBC29" s="55"/>
      <c r="FBE29" s="55"/>
      <c r="FBG29" s="55"/>
      <c r="FBI29" s="55"/>
      <c r="FBK29" s="55"/>
      <c r="FBM29" s="55"/>
      <c r="FBO29" s="55"/>
      <c r="FBQ29" s="55"/>
      <c r="FBS29" s="55"/>
      <c r="FBU29" s="55"/>
      <c r="FBW29" s="55"/>
      <c r="FBY29" s="55"/>
      <c r="FCA29" s="55"/>
      <c r="FCC29" s="55"/>
      <c r="FCE29" s="55"/>
      <c r="FCG29" s="55"/>
      <c r="FCI29" s="55"/>
      <c r="FCK29" s="55"/>
      <c r="FCM29" s="55"/>
      <c r="FCO29" s="55"/>
      <c r="FCQ29" s="55"/>
      <c r="FCS29" s="55"/>
      <c r="FCU29" s="55"/>
      <c r="FCW29" s="55"/>
      <c r="FCY29" s="55"/>
      <c r="FDA29" s="55"/>
      <c r="FDC29" s="55"/>
      <c r="FDE29" s="55"/>
      <c r="FDG29" s="55"/>
      <c r="FDI29" s="55"/>
      <c r="FDK29" s="55"/>
      <c r="FDM29" s="55"/>
      <c r="FDO29" s="55"/>
      <c r="FDQ29" s="55"/>
      <c r="FDS29" s="55"/>
      <c r="FDU29" s="55"/>
      <c r="FDW29" s="55"/>
      <c r="FDY29" s="55"/>
      <c r="FEA29" s="55"/>
      <c r="FEC29" s="55"/>
      <c r="FEE29" s="55"/>
      <c r="FEG29" s="55"/>
      <c r="FEI29" s="55"/>
      <c r="FEK29" s="55"/>
      <c r="FEM29" s="55"/>
      <c r="FEO29" s="55"/>
      <c r="FEQ29" s="55"/>
      <c r="FES29" s="55"/>
      <c r="FEU29" s="55"/>
      <c r="FEW29" s="55"/>
      <c r="FEY29" s="55"/>
      <c r="FFA29" s="55"/>
      <c r="FFC29" s="55"/>
      <c r="FFE29" s="55"/>
      <c r="FFG29" s="55"/>
      <c r="FFI29" s="55"/>
      <c r="FFK29" s="55"/>
      <c r="FFM29" s="55"/>
      <c r="FFO29" s="55"/>
      <c r="FFQ29" s="55"/>
      <c r="FFS29" s="55"/>
      <c r="FFU29" s="55"/>
      <c r="FFW29" s="55"/>
      <c r="FFY29" s="55"/>
      <c r="FGA29" s="55"/>
      <c r="FGC29" s="55"/>
      <c r="FGE29" s="55"/>
      <c r="FGG29" s="55"/>
      <c r="FGI29" s="55"/>
      <c r="FGK29" s="55"/>
      <c r="FGM29" s="55"/>
      <c r="FGO29" s="55"/>
      <c r="FGQ29" s="55"/>
      <c r="FGS29" s="55"/>
      <c r="FGU29" s="55"/>
      <c r="FGW29" s="55"/>
      <c r="FGY29" s="55"/>
      <c r="FHA29" s="55"/>
      <c r="FHC29" s="55"/>
      <c r="FHE29" s="55"/>
      <c r="FHG29" s="55"/>
      <c r="FHI29" s="55"/>
      <c r="FHK29" s="55"/>
      <c r="FHM29" s="55"/>
      <c r="FHO29" s="55"/>
      <c r="FHQ29" s="55"/>
      <c r="FHS29" s="55"/>
      <c r="FHU29" s="55"/>
      <c r="FHW29" s="55"/>
      <c r="FHY29" s="55"/>
      <c r="FIA29" s="55"/>
      <c r="FIC29" s="55"/>
      <c r="FIE29" s="55"/>
      <c r="FIG29" s="55"/>
      <c r="FII29" s="55"/>
      <c r="FIK29" s="55"/>
      <c r="FIM29" s="55"/>
      <c r="FIO29" s="55"/>
      <c r="FIQ29" s="55"/>
      <c r="FIS29" s="55"/>
      <c r="FIU29" s="55"/>
      <c r="FIW29" s="55"/>
      <c r="FIY29" s="55"/>
      <c r="FJA29" s="55"/>
      <c r="FJC29" s="55"/>
      <c r="FJE29" s="55"/>
      <c r="FJG29" s="55"/>
      <c r="FJI29" s="55"/>
      <c r="FJK29" s="55"/>
      <c r="FJM29" s="55"/>
      <c r="FJO29" s="55"/>
      <c r="FJQ29" s="55"/>
      <c r="FJS29" s="55"/>
      <c r="FJU29" s="55"/>
      <c r="FJW29" s="55"/>
      <c r="FJY29" s="55"/>
      <c r="FKA29" s="55"/>
      <c r="FKC29" s="55"/>
      <c r="FKE29" s="55"/>
      <c r="FKG29" s="55"/>
      <c r="FKI29" s="55"/>
      <c r="FKK29" s="55"/>
      <c r="FKM29" s="55"/>
      <c r="FKO29" s="55"/>
      <c r="FKQ29" s="55"/>
      <c r="FKS29" s="55"/>
      <c r="FKU29" s="55"/>
      <c r="FKW29" s="55"/>
      <c r="FKY29" s="55"/>
      <c r="FLA29" s="55"/>
      <c r="FLC29" s="55"/>
      <c r="FLE29" s="55"/>
      <c r="FLG29" s="55"/>
      <c r="FLI29" s="55"/>
      <c r="FLK29" s="55"/>
      <c r="FLM29" s="55"/>
      <c r="FLO29" s="55"/>
      <c r="FLQ29" s="55"/>
      <c r="FLS29" s="55"/>
      <c r="FLU29" s="55"/>
      <c r="FLW29" s="55"/>
      <c r="FLY29" s="55"/>
      <c r="FMA29" s="55"/>
      <c r="FMC29" s="55"/>
      <c r="FME29" s="55"/>
      <c r="FMG29" s="55"/>
      <c r="FMI29" s="55"/>
      <c r="FMK29" s="55"/>
      <c r="FMM29" s="55"/>
      <c r="FMO29" s="55"/>
      <c r="FMQ29" s="55"/>
      <c r="FMS29" s="55"/>
      <c r="FMU29" s="55"/>
      <c r="FMW29" s="55"/>
      <c r="FMY29" s="55"/>
      <c r="FNA29" s="55"/>
      <c r="FNC29" s="55"/>
      <c r="FNE29" s="55"/>
      <c r="FNG29" s="55"/>
      <c r="FNI29" s="55"/>
      <c r="FNK29" s="55"/>
      <c r="FNM29" s="55"/>
      <c r="FNO29" s="55"/>
      <c r="FNQ29" s="55"/>
      <c r="FNS29" s="55"/>
      <c r="FNU29" s="55"/>
      <c r="FNW29" s="55"/>
      <c r="FNY29" s="55"/>
      <c r="FOA29" s="55"/>
      <c r="FOC29" s="55"/>
      <c r="FOE29" s="55"/>
      <c r="FOG29" s="55"/>
      <c r="FOI29" s="55"/>
      <c r="FOK29" s="55"/>
      <c r="FOM29" s="55"/>
      <c r="FOO29" s="55"/>
      <c r="FOQ29" s="55"/>
      <c r="FOS29" s="55"/>
      <c r="FOU29" s="55"/>
      <c r="FOW29" s="55"/>
      <c r="FOY29" s="55"/>
      <c r="FPA29" s="55"/>
      <c r="FPC29" s="55"/>
      <c r="FPE29" s="55"/>
      <c r="FPG29" s="55"/>
      <c r="FPI29" s="55"/>
      <c r="FPK29" s="55"/>
      <c r="FPM29" s="55"/>
      <c r="FPO29" s="55"/>
      <c r="FPQ29" s="55"/>
      <c r="FPS29" s="55"/>
      <c r="FPU29" s="55"/>
      <c r="FPW29" s="55"/>
      <c r="FPY29" s="55"/>
      <c r="FQA29" s="55"/>
      <c r="FQC29" s="55"/>
      <c r="FQE29" s="55"/>
      <c r="FQG29" s="55"/>
      <c r="FQI29" s="55"/>
      <c r="FQK29" s="55"/>
      <c r="FQM29" s="55"/>
      <c r="FQO29" s="55"/>
      <c r="FQQ29" s="55"/>
      <c r="FQS29" s="55"/>
      <c r="FQU29" s="55"/>
      <c r="FQW29" s="55"/>
      <c r="FQY29" s="55"/>
      <c r="FRA29" s="55"/>
      <c r="FRC29" s="55"/>
      <c r="FRE29" s="55"/>
      <c r="FRG29" s="55"/>
      <c r="FRI29" s="55"/>
      <c r="FRK29" s="55"/>
      <c r="FRM29" s="55"/>
      <c r="FRO29" s="55"/>
      <c r="FRQ29" s="55"/>
      <c r="FRS29" s="55"/>
      <c r="FRU29" s="55"/>
      <c r="FRW29" s="55"/>
      <c r="FRY29" s="55"/>
      <c r="FSA29" s="55"/>
      <c r="FSC29" s="55"/>
      <c r="FSE29" s="55"/>
      <c r="FSG29" s="55"/>
      <c r="FSI29" s="55"/>
      <c r="FSK29" s="55"/>
      <c r="FSM29" s="55"/>
      <c r="FSO29" s="55"/>
      <c r="FSQ29" s="55"/>
      <c r="FSS29" s="55"/>
      <c r="FSU29" s="55"/>
      <c r="FSW29" s="55"/>
      <c r="FSY29" s="55"/>
      <c r="FTA29" s="55"/>
      <c r="FTC29" s="55"/>
      <c r="FTE29" s="55"/>
      <c r="FTG29" s="55"/>
      <c r="FTI29" s="55"/>
      <c r="FTK29" s="55"/>
      <c r="FTM29" s="55"/>
      <c r="FTO29" s="55"/>
      <c r="FTQ29" s="55"/>
      <c r="FTS29" s="55"/>
      <c r="FTU29" s="55"/>
      <c r="FTW29" s="55"/>
      <c r="FTY29" s="55"/>
      <c r="FUA29" s="55"/>
      <c r="FUC29" s="55"/>
      <c r="FUE29" s="55"/>
      <c r="FUG29" s="55"/>
      <c r="FUI29" s="55"/>
      <c r="FUK29" s="55"/>
      <c r="FUM29" s="55"/>
      <c r="FUO29" s="55"/>
      <c r="FUQ29" s="55"/>
      <c r="FUS29" s="55"/>
      <c r="FUU29" s="55"/>
      <c r="FUW29" s="55"/>
      <c r="FUY29" s="55"/>
      <c r="FVA29" s="55"/>
      <c r="FVC29" s="55"/>
      <c r="FVE29" s="55"/>
      <c r="FVG29" s="55"/>
      <c r="FVI29" s="55"/>
      <c r="FVK29" s="55"/>
      <c r="FVM29" s="55"/>
      <c r="FVO29" s="55"/>
      <c r="FVQ29" s="55"/>
      <c r="FVS29" s="55"/>
      <c r="FVU29" s="55"/>
      <c r="FVW29" s="55"/>
      <c r="FVY29" s="55"/>
      <c r="FWA29" s="55"/>
      <c r="FWC29" s="55"/>
      <c r="FWE29" s="55"/>
      <c r="FWG29" s="55"/>
      <c r="FWI29" s="55"/>
      <c r="FWK29" s="55"/>
      <c r="FWM29" s="55"/>
      <c r="FWO29" s="55"/>
      <c r="FWQ29" s="55"/>
      <c r="FWS29" s="55"/>
      <c r="FWU29" s="55"/>
      <c r="FWW29" s="55"/>
      <c r="FWY29" s="55"/>
      <c r="FXA29" s="55"/>
      <c r="FXC29" s="55"/>
      <c r="FXE29" s="55"/>
      <c r="FXG29" s="55"/>
      <c r="FXI29" s="55"/>
      <c r="FXK29" s="55"/>
      <c r="FXM29" s="55"/>
      <c r="FXO29" s="55"/>
      <c r="FXQ29" s="55"/>
      <c r="FXS29" s="55"/>
      <c r="FXU29" s="55"/>
      <c r="FXW29" s="55"/>
      <c r="FXY29" s="55"/>
      <c r="FYA29" s="55"/>
      <c r="FYC29" s="55"/>
      <c r="FYE29" s="55"/>
      <c r="FYG29" s="55"/>
      <c r="FYI29" s="55"/>
      <c r="FYK29" s="55"/>
      <c r="FYM29" s="55"/>
      <c r="FYO29" s="55"/>
      <c r="FYQ29" s="55"/>
      <c r="FYS29" s="55"/>
      <c r="FYU29" s="55"/>
      <c r="FYW29" s="55"/>
      <c r="FYY29" s="55"/>
      <c r="FZA29" s="55"/>
      <c r="FZC29" s="55"/>
      <c r="FZE29" s="55"/>
      <c r="FZG29" s="55"/>
      <c r="FZI29" s="55"/>
      <c r="FZK29" s="55"/>
      <c r="FZM29" s="55"/>
      <c r="FZO29" s="55"/>
      <c r="FZQ29" s="55"/>
      <c r="FZS29" s="55"/>
      <c r="FZU29" s="55"/>
      <c r="FZW29" s="55"/>
      <c r="FZY29" s="55"/>
      <c r="GAA29" s="55"/>
      <c r="GAC29" s="55"/>
      <c r="GAE29" s="55"/>
      <c r="GAG29" s="55"/>
      <c r="GAI29" s="55"/>
      <c r="GAK29" s="55"/>
      <c r="GAM29" s="55"/>
      <c r="GAO29" s="55"/>
      <c r="GAQ29" s="55"/>
      <c r="GAS29" s="55"/>
      <c r="GAU29" s="55"/>
      <c r="GAW29" s="55"/>
      <c r="GAY29" s="55"/>
      <c r="GBA29" s="55"/>
      <c r="GBC29" s="55"/>
      <c r="GBE29" s="55"/>
      <c r="GBG29" s="55"/>
      <c r="GBI29" s="55"/>
      <c r="GBK29" s="55"/>
      <c r="GBM29" s="55"/>
      <c r="GBO29" s="55"/>
      <c r="GBQ29" s="55"/>
      <c r="GBS29" s="55"/>
      <c r="GBU29" s="55"/>
      <c r="GBW29" s="55"/>
      <c r="GBY29" s="55"/>
      <c r="GCA29" s="55"/>
      <c r="GCC29" s="55"/>
      <c r="GCE29" s="55"/>
      <c r="GCG29" s="55"/>
      <c r="GCI29" s="55"/>
      <c r="GCK29" s="55"/>
      <c r="GCM29" s="55"/>
      <c r="GCO29" s="55"/>
      <c r="GCQ29" s="55"/>
      <c r="GCS29" s="55"/>
      <c r="GCU29" s="55"/>
      <c r="GCW29" s="55"/>
      <c r="GCY29" s="55"/>
      <c r="GDA29" s="55"/>
      <c r="GDC29" s="55"/>
      <c r="GDE29" s="55"/>
      <c r="GDG29" s="55"/>
      <c r="GDI29" s="55"/>
      <c r="GDK29" s="55"/>
      <c r="GDM29" s="55"/>
      <c r="GDO29" s="55"/>
      <c r="GDQ29" s="55"/>
      <c r="GDS29" s="55"/>
      <c r="GDU29" s="55"/>
      <c r="GDW29" s="55"/>
      <c r="GDY29" s="55"/>
      <c r="GEA29" s="55"/>
      <c r="GEC29" s="55"/>
      <c r="GEE29" s="55"/>
      <c r="GEG29" s="55"/>
      <c r="GEI29" s="55"/>
      <c r="GEK29" s="55"/>
      <c r="GEM29" s="55"/>
      <c r="GEO29" s="55"/>
      <c r="GEQ29" s="55"/>
      <c r="GES29" s="55"/>
      <c r="GEU29" s="55"/>
      <c r="GEW29" s="55"/>
      <c r="GEY29" s="55"/>
      <c r="GFA29" s="55"/>
      <c r="GFC29" s="55"/>
      <c r="GFE29" s="55"/>
      <c r="GFG29" s="55"/>
      <c r="GFI29" s="55"/>
      <c r="GFK29" s="55"/>
      <c r="GFM29" s="55"/>
      <c r="GFO29" s="55"/>
      <c r="GFQ29" s="55"/>
      <c r="GFS29" s="55"/>
      <c r="GFU29" s="55"/>
      <c r="GFW29" s="55"/>
      <c r="GFY29" s="55"/>
      <c r="GGA29" s="55"/>
      <c r="GGC29" s="55"/>
      <c r="GGE29" s="55"/>
      <c r="GGG29" s="55"/>
      <c r="GGI29" s="55"/>
      <c r="GGK29" s="55"/>
      <c r="GGM29" s="55"/>
      <c r="GGO29" s="55"/>
      <c r="GGQ29" s="55"/>
      <c r="GGS29" s="55"/>
      <c r="GGU29" s="55"/>
      <c r="GGW29" s="55"/>
      <c r="GGY29" s="55"/>
      <c r="GHA29" s="55"/>
      <c r="GHC29" s="55"/>
      <c r="GHE29" s="55"/>
      <c r="GHG29" s="55"/>
      <c r="GHI29" s="55"/>
      <c r="GHK29" s="55"/>
      <c r="GHM29" s="55"/>
      <c r="GHO29" s="55"/>
      <c r="GHQ29" s="55"/>
      <c r="GHS29" s="55"/>
      <c r="GHU29" s="55"/>
      <c r="GHW29" s="55"/>
      <c r="GHY29" s="55"/>
      <c r="GIA29" s="55"/>
      <c r="GIC29" s="55"/>
      <c r="GIE29" s="55"/>
      <c r="GIG29" s="55"/>
      <c r="GII29" s="55"/>
      <c r="GIK29" s="55"/>
      <c r="GIM29" s="55"/>
      <c r="GIO29" s="55"/>
      <c r="GIQ29" s="55"/>
      <c r="GIS29" s="55"/>
      <c r="GIU29" s="55"/>
      <c r="GIW29" s="55"/>
      <c r="GIY29" s="55"/>
      <c r="GJA29" s="55"/>
      <c r="GJC29" s="55"/>
      <c r="GJE29" s="55"/>
      <c r="GJG29" s="55"/>
      <c r="GJI29" s="55"/>
      <c r="GJK29" s="55"/>
      <c r="GJM29" s="55"/>
      <c r="GJO29" s="55"/>
      <c r="GJQ29" s="55"/>
      <c r="GJS29" s="55"/>
      <c r="GJU29" s="55"/>
      <c r="GJW29" s="55"/>
      <c r="GJY29" s="55"/>
      <c r="GKA29" s="55"/>
      <c r="GKC29" s="55"/>
      <c r="GKE29" s="55"/>
      <c r="GKG29" s="55"/>
      <c r="GKI29" s="55"/>
      <c r="GKK29" s="55"/>
      <c r="GKM29" s="55"/>
      <c r="GKO29" s="55"/>
      <c r="GKQ29" s="55"/>
      <c r="GKS29" s="55"/>
      <c r="GKU29" s="55"/>
      <c r="GKW29" s="55"/>
      <c r="GKY29" s="55"/>
      <c r="GLA29" s="55"/>
      <c r="GLC29" s="55"/>
      <c r="GLE29" s="55"/>
      <c r="GLG29" s="55"/>
      <c r="GLI29" s="55"/>
      <c r="GLK29" s="55"/>
      <c r="GLM29" s="55"/>
      <c r="GLO29" s="55"/>
      <c r="GLQ29" s="55"/>
      <c r="GLS29" s="55"/>
      <c r="GLU29" s="55"/>
      <c r="GLW29" s="55"/>
      <c r="GLY29" s="55"/>
      <c r="GMA29" s="55"/>
      <c r="GMC29" s="55"/>
      <c r="GME29" s="55"/>
      <c r="GMG29" s="55"/>
      <c r="GMI29" s="55"/>
      <c r="GMK29" s="55"/>
      <c r="GMM29" s="55"/>
      <c r="GMO29" s="55"/>
      <c r="GMQ29" s="55"/>
      <c r="GMS29" s="55"/>
      <c r="GMU29" s="55"/>
      <c r="GMW29" s="55"/>
      <c r="GMY29" s="55"/>
      <c r="GNA29" s="55"/>
      <c r="GNC29" s="55"/>
      <c r="GNE29" s="55"/>
      <c r="GNG29" s="55"/>
      <c r="GNI29" s="55"/>
      <c r="GNK29" s="55"/>
      <c r="GNM29" s="55"/>
      <c r="GNO29" s="55"/>
      <c r="GNQ29" s="55"/>
      <c r="GNS29" s="55"/>
      <c r="GNU29" s="55"/>
      <c r="GNW29" s="55"/>
      <c r="GNY29" s="55"/>
      <c r="GOA29" s="55"/>
      <c r="GOC29" s="55"/>
      <c r="GOE29" s="55"/>
      <c r="GOG29" s="55"/>
      <c r="GOI29" s="55"/>
      <c r="GOK29" s="55"/>
      <c r="GOM29" s="55"/>
      <c r="GOO29" s="55"/>
      <c r="GOQ29" s="55"/>
      <c r="GOS29" s="55"/>
      <c r="GOU29" s="55"/>
      <c r="GOW29" s="55"/>
      <c r="GOY29" s="55"/>
      <c r="GPA29" s="55"/>
      <c r="GPC29" s="55"/>
      <c r="GPE29" s="55"/>
      <c r="GPG29" s="55"/>
      <c r="GPI29" s="55"/>
      <c r="GPK29" s="55"/>
      <c r="GPM29" s="55"/>
      <c r="GPO29" s="55"/>
      <c r="GPQ29" s="55"/>
      <c r="GPS29" s="55"/>
      <c r="GPU29" s="55"/>
      <c r="GPW29" s="55"/>
      <c r="GPY29" s="55"/>
      <c r="GQA29" s="55"/>
      <c r="GQC29" s="55"/>
      <c r="GQE29" s="55"/>
      <c r="GQG29" s="55"/>
      <c r="GQI29" s="55"/>
      <c r="GQK29" s="55"/>
      <c r="GQM29" s="55"/>
      <c r="GQO29" s="55"/>
      <c r="GQQ29" s="55"/>
      <c r="GQS29" s="55"/>
      <c r="GQU29" s="55"/>
      <c r="GQW29" s="55"/>
      <c r="GQY29" s="55"/>
      <c r="GRA29" s="55"/>
      <c r="GRC29" s="55"/>
      <c r="GRE29" s="55"/>
      <c r="GRG29" s="55"/>
      <c r="GRI29" s="55"/>
      <c r="GRK29" s="55"/>
      <c r="GRM29" s="55"/>
      <c r="GRO29" s="55"/>
      <c r="GRQ29" s="55"/>
      <c r="GRS29" s="55"/>
      <c r="GRU29" s="55"/>
      <c r="GRW29" s="55"/>
      <c r="GRY29" s="55"/>
      <c r="GSA29" s="55"/>
      <c r="GSC29" s="55"/>
      <c r="GSE29" s="55"/>
      <c r="GSG29" s="55"/>
      <c r="GSI29" s="55"/>
      <c r="GSK29" s="55"/>
      <c r="GSM29" s="55"/>
      <c r="GSO29" s="55"/>
      <c r="GSQ29" s="55"/>
      <c r="GSS29" s="55"/>
      <c r="GSU29" s="55"/>
      <c r="GSW29" s="55"/>
      <c r="GSY29" s="55"/>
      <c r="GTA29" s="55"/>
      <c r="GTC29" s="55"/>
      <c r="GTE29" s="55"/>
      <c r="GTG29" s="55"/>
      <c r="GTI29" s="55"/>
      <c r="GTK29" s="55"/>
      <c r="GTM29" s="55"/>
      <c r="GTO29" s="55"/>
      <c r="GTQ29" s="55"/>
      <c r="GTS29" s="55"/>
      <c r="GTU29" s="55"/>
      <c r="GTW29" s="55"/>
      <c r="GTY29" s="55"/>
      <c r="GUA29" s="55"/>
      <c r="GUC29" s="55"/>
      <c r="GUE29" s="55"/>
      <c r="GUG29" s="55"/>
      <c r="GUI29" s="55"/>
      <c r="GUK29" s="55"/>
      <c r="GUM29" s="55"/>
      <c r="GUO29" s="55"/>
      <c r="GUQ29" s="55"/>
      <c r="GUS29" s="55"/>
      <c r="GUU29" s="55"/>
      <c r="GUW29" s="55"/>
      <c r="GUY29" s="55"/>
      <c r="GVA29" s="55"/>
      <c r="GVC29" s="55"/>
      <c r="GVE29" s="55"/>
      <c r="GVG29" s="55"/>
      <c r="GVI29" s="55"/>
      <c r="GVK29" s="55"/>
      <c r="GVM29" s="55"/>
      <c r="GVO29" s="55"/>
      <c r="GVQ29" s="55"/>
      <c r="GVS29" s="55"/>
      <c r="GVU29" s="55"/>
      <c r="GVW29" s="55"/>
      <c r="GVY29" s="55"/>
      <c r="GWA29" s="55"/>
      <c r="GWC29" s="55"/>
      <c r="GWE29" s="55"/>
      <c r="GWG29" s="55"/>
      <c r="GWI29" s="55"/>
      <c r="GWK29" s="55"/>
      <c r="GWM29" s="55"/>
      <c r="GWO29" s="55"/>
      <c r="GWQ29" s="55"/>
      <c r="GWS29" s="55"/>
      <c r="GWU29" s="55"/>
      <c r="GWW29" s="55"/>
      <c r="GWY29" s="55"/>
      <c r="GXA29" s="55"/>
      <c r="GXC29" s="55"/>
      <c r="GXE29" s="55"/>
      <c r="GXG29" s="55"/>
      <c r="GXI29" s="55"/>
      <c r="GXK29" s="55"/>
      <c r="GXM29" s="55"/>
      <c r="GXO29" s="55"/>
      <c r="GXQ29" s="55"/>
      <c r="GXS29" s="55"/>
      <c r="GXU29" s="55"/>
      <c r="GXW29" s="55"/>
      <c r="GXY29" s="55"/>
      <c r="GYA29" s="55"/>
      <c r="GYC29" s="55"/>
      <c r="GYE29" s="55"/>
      <c r="GYG29" s="55"/>
      <c r="GYI29" s="55"/>
      <c r="GYK29" s="55"/>
      <c r="GYM29" s="55"/>
      <c r="GYO29" s="55"/>
      <c r="GYQ29" s="55"/>
      <c r="GYS29" s="55"/>
      <c r="GYU29" s="55"/>
      <c r="GYW29" s="55"/>
      <c r="GYY29" s="55"/>
      <c r="GZA29" s="55"/>
      <c r="GZC29" s="55"/>
      <c r="GZE29" s="55"/>
      <c r="GZG29" s="55"/>
      <c r="GZI29" s="55"/>
      <c r="GZK29" s="55"/>
      <c r="GZM29" s="55"/>
      <c r="GZO29" s="55"/>
      <c r="GZQ29" s="55"/>
      <c r="GZS29" s="55"/>
      <c r="GZU29" s="55"/>
      <c r="GZW29" s="55"/>
      <c r="GZY29" s="55"/>
      <c r="HAA29" s="55"/>
      <c r="HAC29" s="55"/>
      <c r="HAE29" s="55"/>
      <c r="HAG29" s="55"/>
      <c r="HAI29" s="55"/>
      <c r="HAK29" s="55"/>
      <c r="HAM29" s="55"/>
      <c r="HAO29" s="55"/>
      <c r="HAQ29" s="55"/>
      <c r="HAS29" s="55"/>
      <c r="HAU29" s="55"/>
      <c r="HAW29" s="55"/>
      <c r="HAY29" s="55"/>
      <c r="HBA29" s="55"/>
      <c r="HBC29" s="55"/>
      <c r="HBE29" s="55"/>
      <c r="HBG29" s="55"/>
      <c r="HBI29" s="55"/>
      <c r="HBK29" s="55"/>
      <c r="HBM29" s="55"/>
      <c r="HBO29" s="55"/>
      <c r="HBQ29" s="55"/>
      <c r="HBS29" s="55"/>
      <c r="HBU29" s="55"/>
      <c r="HBW29" s="55"/>
      <c r="HBY29" s="55"/>
      <c r="HCA29" s="55"/>
      <c r="HCC29" s="55"/>
      <c r="HCE29" s="55"/>
      <c r="HCG29" s="55"/>
      <c r="HCI29" s="55"/>
      <c r="HCK29" s="55"/>
      <c r="HCM29" s="55"/>
      <c r="HCO29" s="55"/>
      <c r="HCQ29" s="55"/>
      <c r="HCS29" s="55"/>
      <c r="HCU29" s="55"/>
      <c r="HCW29" s="55"/>
      <c r="HCY29" s="55"/>
      <c r="HDA29" s="55"/>
      <c r="HDC29" s="55"/>
      <c r="HDE29" s="55"/>
      <c r="HDG29" s="55"/>
      <c r="HDI29" s="55"/>
      <c r="HDK29" s="55"/>
      <c r="HDM29" s="55"/>
      <c r="HDO29" s="55"/>
      <c r="HDQ29" s="55"/>
      <c r="HDS29" s="55"/>
      <c r="HDU29" s="55"/>
      <c r="HDW29" s="55"/>
      <c r="HDY29" s="55"/>
      <c r="HEA29" s="55"/>
      <c r="HEC29" s="55"/>
      <c r="HEE29" s="55"/>
      <c r="HEG29" s="55"/>
      <c r="HEI29" s="55"/>
      <c r="HEK29" s="55"/>
      <c r="HEM29" s="55"/>
      <c r="HEO29" s="55"/>
      <c r="HEQ29" s="55"/>
      <c r="HES29" s="55"/>
      <c r="HEU29" s="55"/>
      <c r="HEW29" s="55"/>
      <c r="HEY29" s="55"/>
      <c r="HFA29" s="55"/>
      <c r="HFC29" s="55"/>
      <c r="HFE29" s="55"/>
      <c r="HFG29" s="55"/>
      <c r="HFI29" s="55"/>
      <c r="HFK29" s="55"/>
      <c r="HFM29" s="55"/>
      <c r="HFO29" s="55"/>
      <c r="HFQ29" s="55"/>
      <c r="HFS29" s="55"/>
      <c r="HFU29" s="55"/>
      <c r="HFW29" s="55"/>
      <c r="HFY29" s="55"/>
      <c r="HGA29" s="55"/>
      <c r="HGC29" s="55"/>
      <c r="HGE29" s="55"/>
      <c r="HGG29" s="55"/>
      <c r="HGI29" s="55"/>
      <c r="HGK29" s="55"/>
      <c r="HGM29" s="55"/>
      <c r="HGO29" s="55"/>
      <c r="HGQ29" s="55"/>
      <c r="HGS29" s="55"/>
      <c r="HGU29" s="55"/>
      <c r="HGW29" s="55"/>
      <c r="HGY29" s="55"/>
      <c r="HHA29" s="55"/>
      <c r="HHC29" s="55"/>
      <c r="HHE29" s="55"/>
      <c r="HHG29" s="55"/>
      <c r="HHI29" s="55"/>
      <c r="HHK29" s="55"/>
      <c r="HHM29" s="55"/>
      <c r="HHO29" s="55"/>
      <c r="HHQ29" s="55"/>
      <c r="HHS29" s="55"/>
      <c r="HHU29" s="55"/>
      <c r="HHW29" s="55"/>
      <c r="HHY29" s="55"/>
      <c r="HIA29" s="55"/>
      <c r="HIC29" s="55"/>
      <c r="HIE29" s="55"/>
      <c r="HIG29" s="55"/>
      <c r="HII29" s="55"/>
      <c r="HIK29" s="55"/>
      <c r="HIM29" s="55"/>
      <c r="HIO29" s="55"/>
      <c r="HIQ29" s="55"/>
      <c r="HIS29" s="55"/>
      <c r="HIU29" s="55"/>
      <c r="HIW29" s="55"/>
      <c r="HIY29" s="55"/>
      <c r="HJA29" s="55"/>
      <c r="HJC29" s="55"/>
      <c r="HJE29" s="55"/>
      <c r="HJG29" s="55"/>
      <c r="HJI29" s="55"/>
      <c r="HJK29" s="55"/>
      <c r="HJM29" s="55"/>
      <c r="HJO29" s="55"/>
      <c r="HJQ29" s="55"/>
      <c r="HJS29" s="55"/>
      <c r="HJU29" s="55"/>
      <c r="HJW29" s="55"/>
      <c r="HJY29" s="55"/>
      <c r="HKA29" s="55"/>
      <c r="HKC29" s="55"/>
      <c r="HKE29" s="55"/>
      <c r="HKG29" s="55"/>
      <c r="HKI29" s="55"/>
      <c r="HKK29" s="55"/>
      <c r="HKM29" s="55"/>
      <c r="HKO29" s="55"/>
      <c r="HKQ29" s="55"/>
      <c r="HKS29" s="55"/>
      <c r="HKU29" s="55"/>
      <c r="HKW29" s="55"/>
      <c r="HKY29" s="55"/>
      <c r="HLA29" s="55"/>
      <c r="HLC29" s="55"/>
      <c r="HLE29" s="55"/>
      <c r="HLG29" s="55"/>
      <c r="HLI29" s="55"/>
      <c r="HLK29" s="55"/>
      <c r="HLM29" s="55"/>
      <c r="HLO29" s="55"/>
      <c r="HLQ29" s="55"/>
      <c r="HLS29" s="55"/>
      <c r="HLU29" s="55"/>
      <c r="HLW29" s="55"/>
      <c r="HLY29" s="55"/>
      <c r="HMA29" s="55"/>
      <c r="HMC29" s="55"/>
      <c r="HME29" s="55"/>
      <c r="HMG29" s="55"/>
      <c r="HMI29" s="55"/>
      <c r="HMK29" s="55"/>
      <c r="HMM29" s="55"/>
      <c r="HMO29" s="55"/>
      <c r="HMQ29" s="55"/>
      <c r="HMS29" s="55"/>
      <c r="HMU29" s="55"/>
      <c r="HMW29" s="55"/>
      <c r="HMY29" s="55"/>
      <c r="HNA29" s="55"/>
      <c r="HNC29" s="55"/>
      <c r="HNE29" s="55"/>
      <c r="HNG29" s="55"/>
      <c r="HNI29" s="55"/>
      <c r="HNK29" s="55"/>
      <c r="HNM29" s="55"/>
      <c r="HNO29" s="55"/>
      <c r="HNQ29" s="55"/>
      <c r="HNS29" s="55"/>
      <c r="HNU29" s="55"/>
      <c r="HNW29" s="55"/>
      <c r="HNY29" s="55"/>
      <c r="HOA29" s="55"/>
      <c r="HOC29" s="55"/>
      <c r="HOE29" s="55"/>
      <c r="HOG29" s="55"/>
      <c r="HOI29" s="55"/>
      <c r="HOK29" s="55"/>
      <c r="HOM29" s="55"/>
      <c r="HOO29" s="55"/>
      <c r="HOQ29" s="55"/>
      <c r="HOS29" s="55"/>
      <c r="HOU29" s="55"/>
      <c r="HOW29" s="55"/>
      <c r="HOY29" s="55"/>
      <c r="HPA29" s="55"/>
      <c r="HPC29" s="55"/>
      <c r="HPE29" s="55"/>
      <c r="HPG29" s="55"/>
      <c r="HPI29" s="55"/>
      <c r="HPK29" s="55"/>
      <c r="HPM29" s="55"/>
      <c r="HPO29" s="55"/>
      <c r="HPQ29" s="55"/>
      <c r="HPS29" s="55"/>
      <c r="HPU29" s="55"/>
      <c r="HPW29" s="55"/>
      <c r="HPY29" s="55"/>
      <c r="HQA29" s="55"/>
      <c r="HQC29" s="55"/>
      <c r="HQE29" s="55"/>
      <c r="HQG29" s="55"/>
      <c r="HQI29" s="55"/>
      <c r="HQK29" s="55"/>
      <c r="HQM29" s="55"/>
      <c r="HQO29" s="55"/>
      <c r="HQQ29" s="55"/>
      <c r="HQS29" s="55"/>
      <c r="HQU29" s="55"/>
      <c r="HQW29" s="55"/>
      <c r="HQY29" s="55"/>
      <c r="HRA29" s="55"/>
      <c r="HRC29" s="55"/>
      <c r="HRE29" s="55"/>
      <c r="HRG29" s="55"/>
      <c r="HRI29" s="55"/>
      <c r="HRK29" s="55"/>
      <c r="HRM29" s="55"/>
      <c r="HRO29" s="55"/>
      <c r="HRQ29" s="55"/>
      <c r="HRS29" s="55"/>
      <c r="HRU29" s="55"/>
      <c r="HRW29" s="55"/>
      <c r="HRY29" s="55"/>
      <c r="HSA29" s="55"/>
      <c r="HSC29" s="55"/>
      <c r="HSE29" s="55"/>
      <c r="HSG29" s="55"/>
      <c r="HSI29" s="55"/>
      <c r="HSK29" s="55"/>
      <c r="HSM29" s="55"/>
      <c r="HSO29" s="55"/>
      <c r="HSQ29" s="55"/>
      <c r="HSS29" s="55"/>
      <c r="HSU29" s="55"/>
      <c r="HSW29" s="55"/>
      <c r="HSY29" s="55"/>
      <c r="HTA29" s="55"/>
      <c r="HTC29" s="55"/>
      <c r="HTE29" s="55"/>
      <c r="HTG29" s="55"/>
      <c r="HTI29" s="55"/>
      <c r="HTK29" s="55"/>
      <c r="HTM29" s="55"/>
      <c r="HTO29" s="55"/>
      <c r="HTQ29" s="55"/>
      <c r="HTS29" s="55"/>
      <c r="HTU29" s="55"/>
      <c r="HTW29" s="55"/>
      <c r="HTY29" s="55"/>
      <c r="HUA29" s="55"/>
      <c r="HUC29" s="55"/>
      <c r="HUE29" s="55"/>
      <c r="HUG29" s="55"/>
      <c r="HUI29" s="55"/>
      <c r="HUK29" s="55"/>
      <c r="HUM29" s="55"/>
      <c r="HUO29" s="55"/>
      <c r="HUQ29" s="55"/>
      <c r="HUS29" s="55"/>
      <c r="HUU29" s="55"/>
      <c r="HUW29" s="55"/>
      <c r="HUY29" s="55"/>
      <c r="HVA29" s="55"/>
      <c r="HVC29" s="55"/>
      <c r="HVE29" s="55"/>
      <c r="HVG29" s="55"/>
      <c r="HVI29" s="55"/>
      <c r="HVK29" s="55"/>
      <c r="HVM29" s="55"/>
      <c r="HVO29" s="55"/>
      <c r="HVQ29" s="55"/>
      <c r="HVS29" s="55"/>
      <c r="HVU29" s="55"/>
      <c r="HVW29" s="55"/>
      <c r="HVY29" s="55"/>
      <c r="HWA29" s="55"/>
      <c r="HWC29" s="55"/>
      <c r="HWE29" s="55"/>
      <c r="HWG29" s="55"/>
      <c r="HWI29" s="55"/>
      <c r="HWK29" s="55"/>
      <c r="HWM29" s="55"/>
      <c r="HWO29" s="55"/>
      <c r="HWQ29" s="55"/>
      <c r="HWS29" s="55"/>
      <c r="HWU29" s="55"/>
      <c r="HWW29" s="55"/>
      <c r="HWY29" s="55"/>
      <c r="HXA29" s="55"/>
      <c r="HXC29" s="55"/>
      <c r="HXE29" s="55"/>
      <c r="HXG29" s="55"/>
      <c r="HXI29" s="55"/>
      <c r="HXK29" s="55"/>
      <c r="HXM29" s="55"/>
      <c r="HXO29" s="55"/>
      <c r="HXQ29" s="55"/>
      <c r="HXS29" s="55"/>
      <c r="HXU29" s="55"/>
      <c r="HXW29" s="55"/>
      <c r="HXY29" s="55"/>
      <c r="HYA29" s="55"/>
      <c r="HYC29" s="55"/>
      <c r="HYE29" s="55"/>
      <c r="HYG29" s="55"/>
      <c r="HYI29" s="55"/>
      <c r="HYK29" s="55"/>
      <c r="HYM29" s="55"/>
      <c r="HYO29" s="55"/>
      <c r="HYQ29" s="55"/>
      <c r="HYS29" s="55"/>
      <c r="HYU29" s="55"/>
      <c r="HYW29" s="55"/>
      <c r="HYY29" s="55"/>
      <c r="HZA29" s="55"/>
      <c r="HZC29" s="55"/>
      <c r="HZE29" s="55"/>
      <c r="HZG29" s="55"/>
      <c r="HZI29" s="55"/>
      <c r="HZK29" s="55"/>
      <c r="HZM29" s="55"/>
      <c r="HZO29" s="55"/>
      <c r="HZQ29" s="55"/>
      <c r="HZS29" s="55"/>
      <c r="HZU29" s="55"/>
      <c r="HZW29" s="55"/>
      <c r="HZY29" s="55"/>
      <c r="IAA29" s="55"/>
      <c r="IAC29" s="55"/>
      <c r="IAE29" s="55"/>
      <c r="IAG29" s="55"/>
      <c r="IAI29" s="55"/>
      <c r="IAK29" s="55"/>
      <c r="IAM29" s="55"/>
      <c r="IAO29" s="55"/>
      <c r="IAQ29" s="55"/>
      <c r="IAS29" s="55"/>
      <c r="IAU29" s="55"/>
      <c r="IAW29" s="55"/>
      <c r="IAY29" s="55"/>
      <c r="IBA29" s="55"/>
      <c r="IBC29" s="55"/>
      <c r="IBE29" s="55"/>
      <c r="IBG29" s="55"/>
      <c r="IBI29" s="55"/>
      <c r="IBK29" s="55"/>
      <c r="IBM29" s="55"/>
      <c r="IBO29" s="55"/>
      <c r="IBQ29" s="55"/>
      <c r="IBS29" s="55"/>
      <c r="IBU29" s="55"/>
      <c r="IBW29" s="55"/>
      <c r="IBY29" s="55"/>
      <c r="ICA29" s="55"/>
      <c r="ICC29" s="55"/>
      <c r="ICE29" s="55"/>
      <c r="ICG29" s="55"/>
      <c r="ICI29" s="55"/>
      <c r="ICK29" s="55"/>
      <c r="ICM29" s="55"/>
      <c r="ICO29" s="55"/>
      <c r="ICQ29" s="55"/>
      <c r="ICS29" s="55"/>
      <c r="ICU29" s="55"/>
      <c r="ICW29" s="55"/>
      <c r="ICY29" s="55"/>
      <c r="IDA29" s="55"/>
      <c r="IDC29" s="55"/>
      <c r="IDE29" s="55"/>
      <c r="IDG29" s="55"/>
      <c r="IDI29" s="55"/>
      <c r="IDK29" s="55"/>
      <c r="IDM29" s="55"/>
      <c r="IDO29" s="55"/>
      <c r="IDQ29" s="55"/>
      <c r="IDS29" s="55"/>
      <c r="IDU29" s="55"/>
      <c r="IDW29" s="55"/>
      <c r="IDY29" s="55"/>
      <c r="IEA29" s="55"/>
      <c r="IEC29" s="55"/>
      <c r="IEE29" s="55"/>
      <c r="IEG29" s="55"/>
      <c r="IEI29" s="55"/>
      <c r="IEK29" s="55"/>
      <c r="IEM29" s="55"/>
      <c r="IEO29" s="55"/>
      <c r="IEQ29" s="55"/>
      <c r="IES29" s="55"/>
      <c r="IEU29" s="55"/>
      <c r="IEW29" s="55"/>
      <c r="IEY29" s="55"/>
      <c r="IFA29" s="55"/>
      <c r="IFC29" s="55"/>
      <c r="IFE29" s="55"/>
      <c r="IFG29" s="55"/>
      <c r="IFI29" s="55"/>
      <c r="IFK29" s="55"/>
      <c r="IFM29" s="55"/>
      <c r="IFO29" s="55"/>
      <c r="IFQ29" s="55"/>
      <c r="IFS29" s="55"/>
      <c r="IFU29" s="55"/>
      <c r="IFW29" s="55"/>
      <c r="IFY29" s="55"/>
      <c r="IGA29" s="55"/>
      <c r="IGC29" s="55"/>
      <c r="IGE29" s="55"/>
      <c r="IGG29" s="55"/>
      <c r="IGI29" s="55"/>
      <c r="IGK29" s="55"/>
      <c r="IGM29" s="55"/>
      <c r="IGO29" s="55"/>
      <c r="IGQ29" s="55"/>
      <c r="IGS29" s="55"/>
      <c r="IGU29" s="55"/>
      <c r="IGW29" s="55"/>
      <c r="IGY29" s="55"/>
      <c r="IHA29" s="55"/>
      <c r="IHC29" s="55"/>
      <c r="IHE29" s="55"/>
      <c r="IHG29" s="55"/>
      <c r="IHI29" s="55"/>
      <c r="IHK29" s="55"/>
      <c r="IHM29" s="55"/>
      <c r="IHO29" s="55"/>
      <c r="IHQ29" s="55"/>
      <c r="IHS29" s="55"/>
      <c r="IHU29" s="55"/>
      <c r="IHW29" s="55"/>
      <c r="IHY29" s="55"/>
      <c r="IIA29" s="55"/>
      <c r="IIC29" s="55"/>
      <c r="IIE29" s="55"/>
      <c r="IIG29" s="55"/>
      <c r="III29" s="55"/>
      <c r="IIK29" s="55"/>
      <c r="IIM29" s="55"/>
      <c r="IIO29" s="55"/>
      <c r="IIQ29" s="55"/>
      <c r="IIS29" s="55"/>
      <c r="IIU29" s="55"/>
      <c r="IIW29" s="55"/>
      <c r="IIY29" s="55"/>
      <c r="IJA29" s="55"/>
      <c r="IJC29" s="55"/>
      <c r="IJE29" s="55"/>
      <c r="IJG29" s="55"/>
      <c r="IJI29" s="55"/>
      <c r="IJK29" s="55"/>
      <c r="IJM29" s="55"/>
      <c r="IJO29" s="55"/>
      <c r="IJQ29" s="55"/>
      <c r="IJS29" s="55"/>
      <c r="IJU29" s="55"/>
      <c r="IJW29" s="55"/>
      <c r="IJY29" s="55"/>
      <c r="IKA29" s="55"/>
      <c r="IKC29" s="55"/>
      <c r="IKE29" s="55"/>
      <c r="IKG29" s="55"/>
      <c r="IKI29" s="55"/>
      <c r="IKK29" s="55"/>
      <c r="IKM29" s="55"/>
      <c r="IKO29" s="55"/>
      <c r="IKQ29" s="55"/>
      <c r="IKS29" s="55"/>
      <c r="IKU29" s="55"/>
      <c r="IKW29" s="55"/>
      <c r="IKY29" s="55"/>
      <c r="ILA29" s="55"/>
      <c r="ILC29" s="55"/>
      <c r="ILE29" s="55"/>
      <c r="ILG29" s="55"/>
      <c r="ILI29" s="55"/>
      <c r="ILK29" s="55"/>
      <c r="ILM29" s="55"/>
      <c r="ILO29" s="55"/>
      <c r="ILQ29" s="55"/>
      <c r="ILS29" s="55"/>
      <c r="ILU29" s="55"/>
      <c r="ILW29" s="55"/>
      <c r="ILY29" s="55"/>
      <c r="IMA29" s="55"/>
      <c r="IMC29" s="55"/>
      <c r="IME29" s="55"/>
      <c r="IMG29" s="55"/>
      <c r="IMI29" s="55"/>
      <c r="IMK29" s="55"/>
      <c r="IMM29" s="55"/>
      <c r="IMO29" s="55"/>
      <c r="IMQ29" s="55"/>
      <c r="IMS29" s="55"/>
      <c r="IMU29" s="55"/>
      <c r="IMW29" s="55"/>
      <c r="IMY29" s="55"/>
      <c r="INA29" s="55"/>
      <c r="INC29" s="55"/>
      <c r="INE29" s="55"/>
      <c r="ING29" s="55"/>
      <c r="INI29" s="55"/>
      <c r="INK29" s="55"/>
      <c r="INM29" s="55"/>
      <c r="INO29" s="55"/>
      <c r="INQ29" s="55"/>
      <c r="INS29" s="55"/>
      <c r="INU29" s="55"/>
      <c r="INW29" s="55"/>
      <c r="INY29" s="55"/>
      <c r="IOA29" s="55"/>
      <c r="IOC29" s="55"/>
      <c r="IOE29" s="55"/>
      <c r="IOG29" s="55"/>
      <c r="IOI29" s="55"/>
      <c r="IOK29" s="55"/>
      <c r="IOM29" s="55"/>
      <c r="IOO29" s="55"/>
      <c r="IOQ29" s="55"/>
      <c r="IOS29" s="55"/>
      <c r="IOU29" s="55"/>
      <c r="IOW29" s="55"/>
      <c r="IOY29" s="55"/>
      <c r="IPA29" s="55"/>
      <c r="IPC29" s="55"/>
      <c r="IPE29" s="55"/>
      <c r="IPG29" s="55"/>
      <c r="IPI29" s="55"/>
      <c r="IPK29" s="55"/>
      <c r="IPM29" s="55"/>
      <c r="IPO29" s="55"/>
      <c r="IPQ29" s="55"/>
      <c r="IPS29" s="55"/>
      <c r="IPU29" s="55"/>
      <c r="IPW29" s="55"/>
      <c r="IPY29" s="55"/>
      <c r="IQA29" s="55"/>
      <c r="IQC29" s="55"/>
      <c r="IQE29" s="55"/>
      <c r="IQG29" s="55"/>
      <c r="IQI29" s="55"/>
      <c r="IQK29" s="55"/>
      <c r="IQM29" s="55"/>
      <c r="IQO29" s="55"/>
      <c r="IQQ29" s="55"/>
      <c r="IQS29" s="55"/>
      <c r="IQU29" s="55"/>
      <c r="IQW29" s="55"/>
      <c r="IQY29" s="55"/>
      <c r="IRA29" s="55"/>
      <c r="IRC29" s="55"/>
      <c r="IRE29" s="55"/>
      <c r="IRG29" s="55"/>
      <c r="IRI29" s="55"/>
      <c r="IRK29" s="55"/>
      <c r="IRM29" s="55"/>
      <c r="IRO29" s="55"/>
      <c r="IRQ29" s="55"/>
      <c r="IRS29" s="55"/>
      <c r="IRU29" s="55"/>
      <c r="IRW29" s="55"/>
      <c r="IRY29" s="55"/>
      <c r="ISA29" s="55"/>
      <c r="ISC29" s="55"/>
      <c r="ISE29" s="55"/>
      <c r="ISG29" s="55"/>
      <c r="ISI29" s="55"/>
      <c r="ISK29" s="55"/>
      <c r="ISM29" s="55"/>
      <c r="ISO29" s="55"/>
      <c r="ISQ29" s="55"/>
      <c r="ISS29" s="55"/>
      <c r="ISU29" s="55"/>
      <c r="ISW29" s="55"/>
      <c r="ISY29" s="55"/>
      <c r="ITA29" s="55"/>
      <c r="ITC29" s="55"/>
      <c r="ITE29" s="55"/>
      <c r="ITG29" s="55"/>
      <c r="ITI29" s="55"/>
      <c r="ITK29" s="55"/>
      <c r="ITM29" s="55"/>
      <c r="ITO29" s="55"/>
      <c r="ITQ29" s="55"/>
      <c r="ITS29" s="55"/>
      <c r="ITU29" s="55"/>
      <c r="ITW29" s="55"/>
      <c r="ITY29" s="55"/>
      <c r="IUA29" s="55"/>
      <c r="IUC29" s="55"/>
      <c r="IUE29" s="55"/>
      <c r="IUG29" s="55"/>
      <c r="IUI29" s="55"/>
      <c r="IUK29" s="55"/>
      <c r="IUM29" s="55"/>
      <c r="IUO29" s="55"/>
      <c r="IUQ29" s="55"/>
      <c r="IUS29" s="55"/>
      <c r="IUU29" s="55"/>
      <c r="IUW29" s="55"/>
      <c r="IUY29" s="55"/>
      <c r="IVA29" s="55"/>
      <c r="IVC29" s="55"/>
      <c r="IVE29" s="55"/>
      <c r="IVG29" s="55"/>
      <c r="IVI29" s="55"/>
      <c r="IVK29" s="55"/>
      <c r="IVM29" s="55"/>
      <c r="IVO29" s="55"/>
      <c r="IVQ29" s="55"/>
      <c r="IVS29" s="55"/>
      <c r="IVU29" s="55"/>
      <c r="IVW29" s="55"/>
      <c r="IVY29" s="55"/>
      <c r="IWA29" s="55"/>
      <c r="IWC29" s="55"/>
      <c r="IWE29" s="55"/>
      <c r="IWG29" s="55"/>
      <c r="IWI29" s="55"/>
      <c r="IWK29" s="55"/>
      <c r="IWM29" s="55"/>
      <c r="IWO29" s="55"/>
      <c r="IWQ29" s="55"/>
      <c r="IWS29" s="55"/>
      <c r="IWU29" s="55"/>
      <c r="IWW29" s="55"/>
      <c r="IWY29" s="55"/>
      <c r="IXA29" s="55"/>
      <c r="IXC29" s="55"/>
      <c r="IXE29" s="55"/>
      <c r="IXG29" s="55"/>
      <c r="IXI29" s="55"/>
      <c r="IXK29" s="55"/>
      <c r="IXM29" s="55"/>
      <c r="IXO29" s="55"/>
      <c r="IXQ29" s="55"/>
      <c r="IXS29" s="55"/>
      <c r="IXU29" s="55"/>
      <c r="IXW29" s="55"/>
      <c r="IXY29" s="55"/>
      <c r="IYA29" s="55"/>
      <c r="IYC29" s="55"/>
      <c r="IYE29" s="55"/>
      <c r="IYG29" s="55"/>
      <c r="IYI29" s="55"/>
      <c r="IYK29" s="55"/>
      <c r="IYM29" s="55"/>
      <c r="IYO29" s="55"/>
      <c r="IYQ29" s="55"/>
      <c r="IYS29" s="55"/>
      <c r="IYU29" s="55"/>
      <c r="IYW29" s="55"/>
      <c r="IYY29" s="55"/>
      <c r="IZA29" s="55"/>
      <c r="IZC29" s="55"/>
      <c r="IZE29" s="55"/>
      <c r="IZG29" s="55"/>
      <c r="IZI29" s="55"/>
      <c r="IZK29" s="55"/>
      <c r="IZM29" s="55"/>
      <c r="IZO29" s="55"/>
      <c r="IZQ29" s="55"/>
      <c r="IZS29" s="55"/>
      <c r="IZU29" s="55"/>
      <c r="IZW29" s="55"/>
      <c r="IZY29" s="55"/>
      <c r="JAA29" s="55"/>
      <c r="JAC29" s="55"/>
      <c r="JAE29" s="55"/>
      <c r="JAG29" s="55"/>
      <c r="JAI29" s="55"/>
      <c r="JAK29" s="55"/>
      <c r="JAM29" s="55"/>
      <c r="JAO29" s="55"/>
      <c r="JAQ29" s="55"/>
      <c r="JAS29" s="55"/>
      <c r="JAU29" s="55"/>
      <c r="JAW29" s="55"/>
      <c r="JAY29" s="55"/>
      <c r="JBA29" s="55"/>
      <c r="JBC29" s="55"/>
      <c r="JBE29" s="55"/>
      <c r="JBG29" s="55"/>
      <c r="JBI29" s="55"/>
      <c r="JBK29" s="55"/>
      <c r="JBM29" s="55"/>
      <c r="JBO29" s="55"/>
      <c r="JBQ29" s="55"/>
      <c r="JBS29" s="55"/>
      <c r="JBU29" s="55"/>
      <c r="JBW29" s="55"/>
      <c r="JBY29" s="55"/>
      <c r="JCA29" s="55"/>
      <c r="JCC29" s="55"/>
      <c r="JCE29" s="55"/>
      <c r="JCG29" s="55"/>
      <c r="JCI29" s="55"/>
      <c r="JCK29" s="55"/>
      <c r="JCM29" s="55"/>
      <c r="JCO29" s="55"/>
      <c r="JCQ29" s="55"/>
      <c r="JCS29" s="55"/>
      <c r="JCU29" s="55"/>
      <c r="JCW29" s="55"/>
      <c r="JCY29" s="55"/>
      <c r="JDA29" s="55"/>
      <c r="JDC29" s="55"/>
      <c r="JDE29" s="55"/>
      <c r="JDG29" s="55"/>
      <c r="JDI29" s="55"/>
      <c r="JDK29" s="55"/>
      <c r="JDM29" s="55"/>
      <c r="JDO29" s="55"/>
      <c r="JDQ29" s="55"/>
      <c r="JDS29" s="55"/>
      <c r="JDU29" s="55"/>
      <c r="JDW29" s="55"/>
      <c r="JDY29" s="55"/>
      <c r="JEA29" s="55"/>
      <c r="JEC29" s="55"/>
      <c r="JEE29" s="55"/>
      <c r="JEG29" s="55"/>
      <c r="JEI29" s="55"/>
      <c r="JEK29" s="55"/>
      <c r="JEM29" s="55"/>
      <c r="JEO29" s="55"/>
      <c r="JEQ29" s="55"/>
      <c r="JES29" s="55"/>
      <c r="JEU29" s="55"/>
      <c r="JEW29" s="55"/>
      <c r="JEY29" s="55"/>
      <c r="JFA29" s="55"/>
      <c r="JFC29" s="55"/>
      <c r="JFE29" s="55"/>
      <c r="JFG29" s="55"/>
      <c r="JFI29" s="55"/>
      <c r="JFK29" s="55"/>
      <c r="JFM29" s="55"/>
      <c r="JFO29" s="55"/>
      <c r="JFQ29" s="55"/>
      <c r="JFS29" s="55"/>
      <c r="JFU29" s="55"/>
      <c r="JFW29" s="55"/>
      <c r="JFY29" s="55"/>
      <c r="JGA29" s="55"/>
      <c r="JGC29" s="55"/>
      <c r="JGE29" s="55"/>
      <c r="JGG29" s="55"/>
      <c r="JGI29" s="55"/>
      <c r="JGK29" s="55"/>
      <c r="JGM29" s="55"/>
      <c r="JGO29" s="55"/>
      <c r="JGQ29" s="55"/>
      <c r="JGS29" s="55"/>
      <c r="JGU29" s="55"/>
      <c r="JGW29" s="55"/>
      <c r="JGY29" s="55"/>
      <c r="JHA29" s="55"/>
      <c r="JHC29" s="55"/>
      <c r="JHE29" s="55"/>
      <c r="JHG29" s="55"/>
      <c r="JHI29" s="55"/>
      <c r="JHK29" s="55"/>
      <c r="JHM29" s="55"/>
      <c r="JHO29" s="55"/>
      <c r="JHQ29" s="55"/>
      <c r="JHS29" s="55"/>
      <c r="JHU29" s="55"/>
      <c r="JHW29" s="55"/>
      <c r="JHY29" s="55"/>
      <c r="JIA29" s="55"/>
      <c r="JIC29" s="55"/>
      <c r="JIE29" s="55"/>
      <c r="JIG29" s="55"/>
      <c r="JII29" s="55"/>
      <c r="JIK29" s="55"/>
      <c r="JIM29" s="55"/>
      <c r="JIO29" s="55"/>
      <c r="JIQ29" s="55"/>
      <c r="JIS29" s="55"/>
      <c r="JIU29" s="55"/>
      <c r="JIW29" s="55"/>
      <c r="JIY29" s="55"/>
      <c r="JJA29" s="55"/>
      <c r="JJC29" s="55"/>
      <c r="JJE29" s="55"/>
      <c r="JJG29" s="55"/>
      <c r="JJI29" s="55"/>
      <c r="JJK29" s="55"/>
      <c r="JJM29" s="55"/>
      <c r="JJO29" s="55"/>
      <c r="JJQ29" s="55"/>
      <c r="JJS29" s="55"/>
      <c r="JJU29" s="55"/>
      <c r="JJW29" s="55"/>
      <c r="JJY29" s="55"/>
      <c r="JKA29" s="55"/>
      <c r="JKC29" s="55"/>
      <c r="JKE29" s="55"/>
      <c r="JKG29" s="55"/>
      <c r="JKI29" s="55"/>
      <c r="JKK29" s="55"/>
      <c r="JKM29" s="55"/>
      <c r="JKO29" s="55"/>
      <c r="JKQ29" s="55"/>
      <c r="JKS29" s="55"/>
      <c r="JKU29" s="55"/>
      <c r="JKW29" s="55"/>
      <c r="JKY29" s="55"/>
      <c r="JLA29" s="55"/>
      <c r="JLC29" s="55"/>
      <c r="JLE29" s="55"/>
      <c r="JLG29" s="55"/>
      <c r="JLI29" s="55"/>
      <c r="JLK29" s="55"/>
      <c r="JLM29" s="55"/>
      <c r="JLO29" s="55"/>
      <c r="JLQ29" s="55"/>
      <c r="JLS29" s="55"/>
      <c r="JLU29" s="55"/>
      <c r="JLW29" s="55"/>
      <c r="JLY29" s="55"/>
      <c r="JMA29" s="55"/>
      <c r="JMC29" s="55"/>
      <c r="JME29" s="55"/>
      <c r="JMG29" s="55"/>
      <c r="JMI29" s="55"/>
      <c r="JMK29" s="55"/>
      <c r="JMM29" s="55"/>
      <c r="JMO29" s="55"/>
      <c r="JMQ29" s="55"/>
      <c r="JMS29" s="55"/>
      <c r="JMU29" s="55"/>
      <c r="JMW29" s="55"/>
      <c r="JMY29" s="55"/>
      <c r="JNA29" s="55"/>
      <c r="JNC29" s="55"/>
      <c r="JNE29" s="55"/>
      <c r="JNG29" s="55"/>
      <c r="JNI29" s="55"/>
      <c r="JNK29" s="55"/>
      <c r="JNM29" s="55"/>
      <c r="JNO29" s="55"/>
      <c r="JNQ29" s="55"/>
      <c r="JNS29" s="55"/>
      <c r="JNU29" s="55"/>
      <c r="JNW29" s="55"/>
      <c r="JNY29" s="55"/>
      <c r="JOA29" s="55"/>
      <c r="JOC29" s="55"/>
      <c r="JOE29" s="55"/>
      <c r="JOG29" s="55"/>
      <c r="JOI29" s="55"/>
      <c r="JOK29" s="55"/>
      <c r="JOM29" s="55"/>
      <c r="JOO29" s="55"/>
      <c r="JOQ29" s="55"/>
      <c r="JOS29" s="55"/>
      <c r="JOU29" s="55"/>
      <c r="JOW29" s="55"/>
      <c r="JOY29" s="55"/>
      <c r="JPA29" s="55"/>
      <c r="JPC29" s="55"/>
      <c r="JPE29" s="55"/>
      <c r="JPG29" s="55"/>
      <c r="JPI29" s="55"/>
      <c r="JPK29" s="55"/>
      <c r="JPM29" s="55"/>
      <c r="JPO29" s="55"/>
      <c r="JPQ29" s="55"/>
      <c r="JPS29" s="55"/>
      <c r="JPU29" s="55"/>
      <c r="JPW29" s="55"/>
      <c r="JPY29" s="55"/>
      <c r="JQA29" s="55"/>
      <c r="JQC29" s="55"/>
      <c r="JQE29" s="55"/>
      <c r="JQG29" s="55"/>
      <c r="JQI29" s="55"/>
      <c r="JQK29" s="55"/>
      <c r="JQM29" s="55"/>
      <c r="JQO29" s="55"/>
      <c r="JQQ29" s="55"/>
      <c r="JQS29" s="55"/>
      <c r="JQU29" s="55"/>
      <c r="JQW29" s="55"/>
      <c r="JQY29" s="55"/>
      <c r="JRA29" s="55"/>
      <c r="JRC29" s="55"/>
      <c r="JRE29" s="55"/>
      <c r="JRG29" s="55"/>
      <c r="JRI29" s="55"/>
      <c r="JRK29" s="55"/>
      <c r="JRM29" s="55"/>
      <c r="JRO29" s="55"/>
      <c r="JRQ29" s="55"/>
      <c r="JRS29" s="55"/>
      <c r="JRU29" s="55"/>
      <c r="JRW29" s="55"/>
      <c r="JRY29" s="55"/>
      <c r="JSA29" s="55"/>
      <c r="JSC29" s="55"/>
      <c r="JSE29" s="55"/>
      <c r="JSG29" s="55"/>
      <c r="JSI29" s="55"/>
      <c r="JSK29" s="55"/>
      <c r="JSM29" s="55"/>
      <c r="JSO29" s="55"/>
      <c r="JSQ29" s="55"/>
      <c r="JSS29" s="55"/>
      <c r="JSU29" s="55"/>
      <c r="JSW29" s="55"/>
      <c r="JSY29" s="55"/>
      <c r="JTA29" s="55"/>
      <c r="JTC29" s="55"/>
      <c r="JTE29" s="55"/>
      <c r="JTG29" s="55"/>
      <c r="JTI29" s="55"/>
      <c r="JTK29" s="55"/>
      <c r="JTM29" s="55"/>
      <c r="JTO29" s="55"/>
      <c r="JTQ29" s="55"/>
      <c r="JTS29" s="55"/>
      <c r="JTU29" s="55"/>
      <c r="JTW29" s="55"/>
      <c r="JTY29" s="55"/>
      <c r="JUA29" s="55"/>
      <c r="JUC29" s="55"/>
      <c r="JUE29" s="55"/>
      <c r="JUG29" s="55"/>
      <c r="JUI29" s="55"/>
      <c r="JUK29" s="55"/>
      <c r="JUM29" s="55"/>
      <c r="JUO29" s="55"/>
      <c r="JUQ29" s="55"/>
      <c r="JUS29" s="55"/>
      <c r="JUU29" s="55"/>
      <c r="JUW29" s="55"/>
      <c r="JUY29" s="55"/>
      <c r="JVA29" s="55"/>
      <c r="JVC29" s="55"/>
      <c r="JVE29" s="55"/>
      <c r="JVG29" s="55"/>
      <c r="JVI29" s="55"/>
      <c r="JVK29" s="55"/>
      <c r="JVM29" s="55"/>
      <c r="JVO29" s="55"/>
      <c r="JVQ29" s="55"/>
      <c r="JVS29" s="55"/>
      <c r="JVU29" s="55"/>
      <c r="JVW29" s="55"/>
      <c r="JVY29" s="55"/>
      <c r="JWA29" s="55"/>
      <c r="JWC29" s="55"/>
      <c r="JWE29" s="55"/>
      <c r="JWG29" s="55"/>
      <c r="JWI29" s="55"/>
      <c r="JWK29" s="55"/>
      <c r="JWM29" s="55"/>
      <c r="JWO29" s="55"/>
      <c r="JWQ29" s="55"/>
      <c r="JWS29" s="55"/>
      <c r="JWU29" s="55"/>
      <c r="JWW29" s="55"/>
      <c r="JWY29" s="55"/>
      <c r="JXA29" s="55"/>
      <c r="JXC29" s="55"/>
      <c r="JXE29" s="55"/>
      <c r="JXG29" s="55"/>
      <c r="JXI29" s="55"/>
      <c r="JXK29" s="55"/>
      <c r="JXM29" s="55"/>
      <c r="JXO29" s="55"/>
      <c r="JXQ29" s="55"/>
      <c r="JXS29" s="55"/>
      <c r="JXU29" s="55"/>
      <c r="JXW29" s="55"/>
      <c r="JXY29" s="55"/>
      <c r="JYA29" s="55"/>
      <c r="JYC29" s="55"/>
      <c r="JYE29" s="55"/>
      <c r="JYG29" s="55"/>
      <c r="JYI29" s="55"/>
      <c r="JYK29" s="55"/>
      <c r="JYM29" s="55"/>
      <c r="JYO29" s="55"/>
      <c r="JYQ29" s="55"/>
      <c r="JYS29" s="55"/>
      <c r="JYU29" s="55"/>
      <c r="JYW29" s="55"/>
      <c r="JYY29" s="55"/>
      <c r="JZA29" s="55"/>
      <c r="JZC29" s="55"/>
      <c r="JZE29" s="55"/>
      <c r="JZG29" s="55"/>
      <c r="JZI29" s="55"/>
      <c r="JZK29" s="55"/>
      <c r="JZM29" s="55"/>
      <c r="JZO29" s="55"/>
      <c r="JZQ29" s="55"/>
      <c r="JZS29" s="55"/>
      <c r="JZU29" s="55"/>
      <c r="JZW29" s="55"/>
      <c r="JZY29" s="55"/>
      <c r="KAA29" s="55"/>
      <c r="KAC29" s="55"/>
      <c r="KAE29" s="55"/>
      <c r="KAG29" s="55"/>
      <c r="KAI29" s="55"/>
      <c r="KAK29" s="55"/>
      <c r="KAM29" s="55"/>
      <c r="KAO29" s="55"/>
      <c r="KAQ29" s="55"/>
      <c r="KAS29" s="55"/>
      <c r="KAU29" s="55"/>
      <c r="KAW29" s="55"/>
      <c r="KAY29" s="55"/>
      <c r="KBA29" s="55"/>
      <c r="KBC29" s="55"/>
      <c r="KBE29" s="55"/>
      <c r="KBG29" s="55"/>
      <c r="KBI29" s="55"/>
      <c r="KBK29" s="55"/>
      <c r="KBM29" s="55"/>
      <c r="KBO29" s="55"/>
      <c r="KBQ29" s="55"/>
      <c r="KBS29" s="55"/>
      <c r="KBU29" s="55"/>
      <c r="KBW29" s="55"/>
      <c r="KBY29" s="55"/>
      <c r="KCA29" s="55"/>
      <c r="KCC29" s="55"/>
      <c r="KCE29" s="55"/>
      <c r="KCG29" s="55"/>
      <c r="KCI29" s="55"/>
      <c r="KCK29" s="55"/>
      <c r="KCM29" s="55"/>
      <c r="KCO29" s="55"/>
      <c r="KCQ29" s="55"/>
      <c r="KCS29" s="55"/>
      <c r="KCU29" s="55"/>
      <c r="KCW29" s="55"/>
      <c r="KCY29" s="55"/>
      <c r="KDA29" s="55"/>
      <c r="KDC29" s="55"/>
      <c r="KDE29" s="55"/>
      <c r="KDG29" s="55"/>
      <c r="KDI29" s="55"/>
      <c r="KDK29" s="55"/>
      <c r="KDM29" s="55"/>
      <c r="KDO29" s="55"/>
      <c r="KDQ29" s="55"/>
      <c r="KDS29" s="55"/>
      <c r="KDU29" s="55"/>
      <c r="KDW29" s="55"/>
      <c r="KDY29" s="55"/>
      <c r="KEA29" s="55"/>
      <c r="KEC29" s="55"/>
      <c r="KEE29" s="55"/>
      <c r="KEG29" s="55"/>
      <c r="KEI29" s="55"/>
      <c r="KEK29" s="55"/>
      <c r="KEM29" s="55"/>
      <c r="KEO29" s="55"/>
      <c r="KEQ29" s="55"/>
      <c r="KES29" s="55"/>
      <c r="KEU29" s="55"/>
      <c r="KEW29" s="55"/>
      <c r="KEY29" s="55"/>
      <c r="KFA29" s="55"/>
      <c r="KFC29" s="55"/>
      <c r="KFE29" s="55"/>
      <c r="KFG29" s="55"/>
      <c r="KFI29" s="55"/>
      <c r="KFK29" s="55"/>
      <c r="KFM29" s="55"/>
      <c r="KFO29" s="55"/>
      <c r="KFQ29" s="55"/>
      <c r="KFS29" s="55"/>
      <c r="KFU29" s="55"/>
      <c r="KFW29" s="55"/>
      <c r="KFY29" s="55"/>
      <c r="KGA29" s="55"/>
      <c r="KGC29" s="55"/>
      <c r="KGE29" s="55"/>
      <c r="KGG29" s="55"/>
      <c r="KGI29" s="55"/>
      <c r="KGK29" s="55"/>
      <c r="KGM29" s="55"/>
      <c r="KGO29" s="55"/>
      <c r="KGQ29" s="55"/>
      <c r="KGS29" s="55"/>
      <c r="KGU29" s="55"/>
      <c r="KGW29" s="55"/>
      <c r="KGY29" s="55"/>
      <c r="KHA29" s="55"/>
      <c r="KHC29" s="55"/>
      <c r="KHE29" s="55"/>
      <c r="KHG29" s="55"/>
      <c r="KHI29" s="55"/>
      <c r="KHK29" s="55"/>
      <c r="KHM29" s="55"/>
      <c r="KHO29" s="55"/>
      <c r="KHQ29" s="55"/>
      <c r="KHS29" s="55"/>
      <c r="KHU29" s="55"/>
      <c r="KHW29" s="55"/>
      <c r="KHY29" s="55"/>
      <c r="KIA29" s="55"/>
      <c r="KIC29" s="55"/>
      <c r="KIE29" s="55"/>
      <c r="KIG29" s="55"/>
      <c r="KII29" s="55"/>
      <c r="KIK29" s="55"/>
      <c r="KIM29" s="55"/>
      <c r="KIO29" s="55"/>
      <c r="KIQ29" s="55"/>
      <c r="KIS29" s="55"/>
      <c r="KIU29" s="55"/>
      <c r="KIW29" s="55"/>
      <c r="KIY29" s="55"/>
      <c r="KJA29" s="55"/>
      <c r="KJC29" s="55"/>
      <c r="KJE29" s="55"/>
      <c r="KJG29" s="55"/>
      <c r="KJI29" s="55"/>
      <c r="KJK29" s="55"/>
      <c r="KJM29" s="55"/>
      <c r="KJO29" s="55"/>
      <c r="KJQ29" s="55"/>
      <c r="KJS29" s="55"/>
      <c r="KJU29" s="55"/>
      <c r="KJW29" s="55"/>
      <c r="KJY29" s="55"/>
      <c r="KKA29" s="55"/>
      <c r="KKC29" s="55"/>
      <c r="KKE29" s="55"/>
      <c r="KKG29" s="55"/>
      <c r="KKI29" s="55"/>
      <c r="KKK29" s="55"/>
      <c r="KKM29" s="55"/>
      <c r="KKO29" s="55"/>
      <c r="KKQ29" s="55"/>
      <c r="KKS29" s="55"/>
      <c r="KKU29" s="55"/>
      <c r="KKW29" s="55"/>
      <c r="KKY29" s="55"/>
      <c r="KLA29" s="55"/>
      <c r="KLC29" s="55"/>
      <c r="KLE29" s="55"/>
      <c r="KLG29" s="55"/>
      <c r="KLI29" s="55"/>
      <c r="KLK29" s="55"/>
      <c r="KLM29" s="55"/>
      <c r="KLO29" s="55"/>
      <c r="KLQ29" s="55"/>
      <c r="KLS29" s="55"/>
      <c r="KLU29" s="55"/>
      <c r="KLW29" s="55"/>
      <c r="KLY29" s="55"/>
      <c r="KMA29" s="55"/>
      <c r="KMC29" s="55"/>
      <c r="KME29" s="55"/>
      <c r="KMG29" s="55"/>
      <c r="KMI29" s="55"/>
      <c r="KMK29" s="55"/>
      <c r="KMM29" s="55"/>
      <c r="KMO29" s="55"/>
      <c r="KMQ29" s="55"/>
      <c r="KMS29" s="55"/>
      <c r="KMU29" s="55"/>
      <c r="KMW29" s="55"/>
      <c r="KMY29" s="55"/>
      <c r="KNA29" s="55"/>
      <c r="KNC29" s="55"/>
      <c r="KNE29" s="55"/>
      <c r="KNG29" s="55"/>
      <c r="KNI29" s="55"/>
      <c r="KNK29" s="55"/>
      <c r="KNM29" s="55"/>
      <c r="KNO29" s="55"/>
      <c r="KNQ29" s="55"/>
      <c r="KNS29" s="55"/>
      <c r="KNU29" s="55"/>
      <c r="KNW29" s="55"/>
      <c r="KNY29" s="55"/>
      <c r="KOA29" s="55"/>
      <c r="KOC29" s="55"/>
      <c r="KOE29" s="55"/>
      <c r="KOG29" s="55"/>
      <c r="KOI29" s="55"/>
      <c r="KOK29" s="55"/>
      <c r="KOM29" s="55"/>
      <c r="KOO29" s="55"/>
      <c r="KOQ29" s="55"/>
      <c r="KOS29" s="55"/>
      <c r="KOU29" s="55"/>
      <c r="KOW29" s="55"/>
      <c r="KOY29" s="55"/>
      <c r="KPA29" s="55"/>
      <c r="KPC29" s="55"/>
      <c r="KPE29" s="55"/>
      <c r="KPG29" s="55"/>
      <c r="KPI29" s="55"/>
      <c r="KPK29" s="55"/>
      <c r="KPM29" s="55"/>
      <c r="KPO29" s="55"/>
      <c r="KPQ29" s="55"/>
      <c r="KPS29" s="55"/>
      <c r="KPU29" s="55"/>
      <c r="KPW29" s="55"/>
      <c r="KPY29" s="55"/>
      <c r="KQA29" s="55"/>
      <c r="KQC29" s="55"/>
      <c r="KQE29" s="55"/>
      <c r="KQG29" s="55"/>
      <c r="KQI29" s="55"/>
      <c r="KQK29" s="55"/>
      <c r="KQM29" s="55"/>
      <c r="KQO29" s="55"/>
      <c r="KQQ29" s="55"/>
      <c r="KQS29" s="55"/>
      <c r="KQU29" s="55"/>
      <c r="KQW29" s="55"/>
      <c r="KQY29" s="55"/>
      <c r="KRA29" s="55"/>
      <c r="KRC29" s="55"/>
      <c r="KRE29" s="55"/>
      <c r="KRG29" s="55"/>
      <c r="KRI29" s="55"/>
      <c r="KRK29" s="55"/>
      <c r="KRM29" s="55"/>
      <c r="KRO29" s="55"/>
      <c r="KRQ29" s="55"/>
      <c r="KRS29" s="55"/>
      <c r="KRU29" s="55"/>
      <c r="KRW29" s="55"/>
      <c r="KRY29" s="55"/>
      <c r="KSA29" s="55"/>
      <c r="KSC29" s="55"/>
      <c r="KSE29" s="55"/>
      <c r="KSG29" s="55"/>
      <c r="KSI29" s="55"/>
      <c r="KSK29" s="55"/>
      <c r="KSM29" s="55"/>
      <c r="KSO29" s="55"/>
      <c r="KSQ29" s="55"/>
      <c r="KSS29" s="55"/>
      <c r="KSU29" s="55"/>
      <c r="KSW29" s="55"/>
      <c r="KSY29" s="55"/>
      <c r="KTA29" s="55"/>
      <c r="KTC29" s="55"/>
      <c r="KTE29" s="55"/>
      <c r="KTG29" s="55"/>
      <c r="KTI29" s="55"/>
      <c r="KTK29" s="55"/>
      <c r="KTM29" s="55"/>
      <c r="KTO29" s="55"/>
      <c r="KTQ29" s="55"/>
      <c r="KTS29" s="55"/>
      <c r="KTU29" s="55"/>
      <c r="KTW29" s="55"/>
      <c r="KTY29" s="55"/>
      <c r="KUA29" s="55"/>
      <c r="KUC29" s="55"/>
      <c r="KUE29" s="55"/>
      <c r="KUG29" s="55"/>
      <c r="KUI29" s="55"/>
      <c r="KUK29" s="55"/>
      <c r="KUM29" s="55"/>
      <c r="KUO29" s="55"/>
      <c r="KUQ29" s="55"/>
      <c r="KUS29" s="55"/>
      <c r="KUU29" s="55"/>
      <c r="KUW29" s="55"/>
      <c r="KUY29" s="55"/>
      <c r="KVA29" s="55"/>
      <c r="KVC29" s="55"/>
      <c r="KVE29" s="55"/>
      <c r="KVG29" s="55"/>
      <c r="KVI29" s="55"/>
      <c r="KVK29" s="55"/>
      <c r="KVM29" s="55"/>
      <c r="KVO29" s="55"/>
      <c r="KVQ29" s="55"/>
      <c r="KVS29" s="55"/>
      <c r="KVU29" s="55"/>
      <c r="KVW29" s="55"/>
      <c r="KVY29" s="55"/>
      <c r="KWA29" s="55"/>
      <c r="KWC29" s="55"/>
      <c r="KWE29" s="55"/>
      <c r="KWG29" s="55"/>
      <c r="KWI29" s="55"/>
      <c r="KWK29" s="55"/>
      <c r="KWM29" s="55"/>
      <c r="KWO29" s="55"/>
      <c r="KWQ29" s="55"/>
      <c r="KWS29" s="55"/>
      <c r="KWU29" s="55"/>
      <c r="KWW29" s="55"/>
      <c r="KWY29" s="55"/>
      <c r="KXA29" s="55"/>
      <c r="KXC29" s="55"/>
      <c r="KXE29" s="55"/>
      <c r="KXG29" s="55"/>
      <c r="KXI29" s="55"/>
      <c r="KXK29" s="55"/>
      <c r="KXM29" s="55"/>
      <c r="KXO29" s="55"/>
      <c r="KXQ29" s="55"/>
      <c r="KXS29" s="55"/>
      <c r="KXU29" s="55"/>
      <c r="KXW29" s="55"/>
      <c r="KXY29" s="55"/>
      <c r="KYA29" s="55"/>
      <c r="KYC29" s="55"/>
      <c r="KYE29" s="55"/>
      <c r="KYG29" s="55"/>
      <c r="KYI29" s="55"/>
      <c r="KYK29" s="55"/>
      <c r="KYM29" s="55"/>
      <c r="KYO29" s="55"/>
      <c r="KYQ29" s="55"/>
      <c r="KYS29" s="55"/>
      <c r="KYU29" s="55"/>
      <c r="KYW29" s="55"/>
      <c r="KYY29" s="55"/>
      <c r="KZA29" s="55"/>
      <c r="KZC29" s="55"/>
      <c r="KZE29" s="55"/>
      <c r="KZG29" s="55"/>
      <c r="KZI29" s="55"/>
      <c r="KZK29" s="55"/>
      <c r="KZM29" s="55"/>
      <c r="KZO29" s="55"/>
      <c r="KZQ29" s="55"/>
      <c r="KZS29" s="55"/>
      <c r="KZU29" s="55"/>
      <c r="KZW29" s="55"/>
      <c r="KZY29" s="55"/>
      <c r="LAA29" s="55"/>
      <c r="LAC29" s="55"/>
      <c r="LAE29" s="55"/>
      <c r="LAG29" s="55"/>
      <c r="LAI29" s="55"/>
      <c r="LAK29" s="55"/>
      <c r="LAM29" s="55"/>
      <c r="LAO29" s="55"/>
      <c r="LAQ29" s="55"/>
      <c r="LAS29" s="55"/>
      <c r="LAU29" s="55"/>
      <c r="LAW29" s="55"/>
      <c r="LAY29" s="55"/>
      <c r="LBA29" s="55"/>
      <c r="LBC29" s="55"/>
      <c r="LBE29" s="55"/>
      <c r="LBG29" s="55"/>
      <c r="LBI29" s="55"/>
      <c r="LBK29" s="55"/>
      <c r="LBM29" s="55"/>
      <c r="LBO29" s="55"/>
      <c r="LBQ29" s="55"/>
      <c r="LBS29" s="55"/>
      <c r="LBU29" s="55"/>
      <c r="LBW29" s="55"/>
      <c r="LBY29" s="55"/>
      <c r="LCA29" s="55"/>
      <c r="LCC29" s="55"/>
      <c r="LCE29" s="55"/>
      <c r="LCG29" s="55"/>
      <c r="LCI29" s="55"/>
      <c r="LCK29" s="55"/>
      <c r="LCM29" s="55"/>
      <c r="LCO29" s="55"/>
      <c r="LCQ29" s="55"/>
      <c r="LCS29" s="55"/>
      <c r="LCU29" s="55"/>
      <c r="LCW29" s="55"/>
      <c r="LCY29" s="55"/>
      <c r="LDA29" s="55"/>
      <c r="LDC29" s="55"/>
      <c r="LDE29" s="55"/>
      <c r="LDG29" s="55"/>
      <c r="LDI29" s="55"/>
      <c r="LDK29" s="55"/>
      <c r="LDM29" s="55"/>
      <c r="LDO29" s="55"/>
      <c r="LDQ29" s="55"/>
      <c r="LDS29" s="55"/>
      <c r="LDU29" s="55"/>
      <c r="LDW29" s="55"/>
      <c r="LDY29" s="55"/>
      <c r="LEA29" s="55"/>
      <c r="LEC29" s="55"/>
      <c r="LEE29" s="55"/>
      <c r="LEG29" s="55"/>
      <c r="LEI29" s="55"/>
      <c r="LEK29" s="55"/>
      <c r="LEM29" s="55"/>
      <c r="LEO29" s="55"/>
      <c r="LEQ29" s="55"/>
      <c r="LES29" s="55"/>
      <c r="LEU29" s="55"/>
      <c r="LEW29" s="55"/>
      <c r="LEY29" s="55"/>
      <c r="LFA29" s="55"/>
      <c r="LFC29" s="55"/>
      <c r="LFE29" s="55"/>
      <c r="LFG29" s="55"/>
      <c r="LFI29" s="55"/>
      <c r="LFK29" s="55"/>
      <c r="LFM29" s="55"/>
      <c r="LFO29" s="55"/>
      <c r="LFQ29" s="55"/>
      <c r="LFS29" s="55"/>
      <c r="LFU29" s="55"/>
      <c r="LFW29" s="55"/>
      <c r="LFY29" s="55"/>
      <c r="LGA29" s="55"/>
      <c r="LGC29" s="55"/>
      <c r="LGE29" s="55"/>
      <c r="LGG29" s="55"/>
      <c r="LGI29" s="55"/>
      <c r="LGK29" s="55"/>
      <c r="LGM29" s="55"/>
      <c r="LGO29" s="55"/>
      <c r="LGQ29" s="55"/>
      <c r="LGS29" s="55"/>
      <c r="LGU29" s="55"/>
      <c r="LGW29" s="55"/>
      <c r="LGY29" s="55"/>
      <c r="LHA29" s="55"/>
      <c r="LHC29" s="55"/>
      <c r="LHE29" s="55"/>
      <c r="LHG29" s="55"/>
      <c r="LHI29" s="55"/>
      <c r="LHK29" s="55"/>
      <c r="LHM29" s="55"/>
      <c r="LHO29" s="55"/>
      <c r="LHQ29" s="55"/>
      <c r="LHS29" s="55"/>
      <c r="LHU29" s="55"/>
      <c r="LHW29" s="55"/>
      <c r="LHY29" s="55"/>
      <c r="LIA29" s="55"/>
      <c r="LIC29" s="55"/>
      <c r="LIE29" s="55"/>
      <c r="LIG29" s="55"/>
      <c r="LII29" s="55"/>
      <c r="LIK29" s="55"/>
      <c r="LIM29" s="55"/>
      <c r="LIO29" s="55"/>
      <c r="LIQ29" s="55"/>
      <c r="LIS29" s="55"/>
      <c r="LIU29" s="55"/>
      <c r="LIW29" s="55"/>
      <c r="LIY29" s="55"/>
      <c r="LJA29" s="55"/>
      <c r="LJC29" s="55"/>
      <c r="LJE29" s="55"/>
      <c r="LJG29" s="55"/>
      <c r="LJI29" s="55"/>
      <c r="LJK29" s="55"/>
      <c r="LJM29" s="55"/>
      <c r="LJO29" s="55"/>
      <c r="LJQ29" s="55"/>
      <c r="LJS29" s="55"/>
      <c r="LJU29" s="55"/>
      <c r="LJW29" s="55"/>
      <c r="LJY29" s="55"/>
      <c r="LKA29" s="55"/>
      <c r="LKC29" s="55"/>
      <c r="LKE29" s="55"/>
      <c r="LKG29" s="55"/>
      <c r="LKI29" s="55"/>
      <c r="LKK29" s="55"/>
      <c r="LKM29" s="55"/>
      <c r="LKO29" s="55"/>
      <c r="LKQ29" s="55"/>
      <c r="LKS29" s="55"/>
      <c r="LKU29" s="55"/>
      <c r="LKW29" s="55"/>
      <c r="LKY29" s="55"/>
      <c r="LLA29" s="55"/>
      <c r="LLC29" s="55"/>
      <c r="LLE29" s="55"/>
      <c r="LLG29" s="55"/>
      <c r="LLI29" s="55"/>
      <c r="LLK29" s="55"/>
      <c r="LLM29" s="55"/>
      <c r="LLO29" s="55"/>
      <c r="LLQ29" s="55"/>
      <c r="LLS29" s="55"/>
      <c r="LLU29" s="55"/>
      <c r="LLW29" s="55"/>
      <c r="LLY29" s="55"/>
      <c r="LMA29" s="55"/>
      <c r="LMC29" s="55"/>
      <c r="LME29" s="55"/>
      <c r="LMG29" s="55"/>
      <c r="LMI29" s="55"/>
      <c r="LMK29" s="55"/>
      <c r="LMM29" s="55"/>
      <c r="LMO29" s="55"/>
      <c r="LMQ29" s="55"/>
      <c r="LMS29" s="55"/>
      <c r="LMU29" s="55"/>
      <c r="LMW29" s="55"/>
      <c r="LMY29" s="55"/>
      <c r="LNA29" s="55"/>
      <c r="LNC29" s="55"/>
      <c r="LNE29" s="55"/>
      <c r="LNG29" s="55"/>
      <c r="LNI29" s="55"/>
      <c r="LNK29" s="55"/>
      <c r="LNM29" s="55"/>
      <c r="LNO29" s="55"/>
      <c r="LNQ29" s="55"/>
      <c r="LNS29" s="55"/>
      <c r="LNU29" s="55"/>
      <c r="LNW29" s="55"/>
      <c r="LNY29" s="55"/>
      <c r="LOA29" s="55"/>
      <c r="LOC29" s="55"/>
      <c r="LOE29" s="55"/>
      <c r="LOG29" s="55"/>
      <c r="LOI29" s="55"/>
      <c r="LOK29" s="55"/>
      <c r="LOM29" s="55"/>
      <c r="LOO29" s="55"/>
      <c r="LOQ29" s="55"/>
      <c r="LOS29" s="55"/>
      <c r="LOU29" s="55"/>
      <c r="LOW29" s="55"/>
      <c r="LOY29" s="55"/>
      <c r="LPA29" s="55"/>
      <c r="LPC29" s="55"/>
      <c r="LPE29" s="55"/>
      <c r="LPG29" s="55"/>
      <c r="LPI29" s="55"/>
      <c r="LPK29" s="55"/>
      <c r="LPM29" s="55"/>
      <c r="LPO29" s="55"/>
      <c r="LPQ29" s="55"/>
      <c r="LPS29" s="55"/>
      <c r="LPU29" s="55"/>
      <c r="LPW29" s="55"/>
      <c r="LPY29" s="55"/>
      <c r="LQA29" s="55"/>
      <c r="LQC29" s="55"/>
      <c r="LQE29" s="55"/>
      <c r="LQG29" s="55"/>
      <c r="LQI29" s="55"/>
      <c r="LQK29" s="55"/>
      <c r="LQM29" s="55"/>
      <c r="LQO29" s="55"/>
      <c r="LQQ29" s="55"/>
      <c r="LQS29" s="55"/>
      <c r="LQU29" s="55"/>
      <c r="LQW29" s="55"/>
      <c r="LQY29" s="55"/>
      <c r="LRA29" s="55"/>
      <c r="LRC29" s="55"/>
      <c r="LRE29" s="55"/>
      <c r="LRG29" s="55"/>
      <c r="LRI29" s="55"/>
      <c r="LRK29" s="55"/>
      <c r="LRM29" s="55"/>
      <c r="LRO29" s="55"/>
      <c r="LRQ29" s="55"/>
      <c r="LRS29" s="55"/>
      <c r="LRU29" s="55"/>
      <c r="LRW29" s="55"/>
      <c r="LRY29" s="55"/>
      <c r="LSA29" s="55"/>
      <c r="LSC29" s="55"/>
      <c r="LSE29" s="55"/>
      <c r="LSG29" s="55"/>
      <c r="LSI29" s="55"/>
      <c r="LSK29" s="55"/>
      <c r="LSM29" s="55"/>
      <c r="LSO29" s="55"/>
      <c r="LSQ29" s="55"/>
      <c r="LSS29" s="55"/>
      <c r="LSU29" s="55"/>
      <c r="LSW29" s="55"/>
      <c r="LSY29" s="55"/>
      <c r="LTA29" s="55"/>
      <c r="LTC29" s="55"/>
      <c r="LTE29" s="55"/>
      <c r="LTG29" s="55"/>
      <c r="LTI29" s="55"/>
      <c r="LTK29" s="55"/>
      <c r="LTM29" s="55"/>
      <c r="LTO29" s="55"/>
      <c r="LTQ29" s="55"/>
      <c r="LTS29" s="55"/>
      <c r="LTU29" s="55"/>
      <c r="LTW29" s="55"/>
      <c r="LTY29" s="55"/>
      <c r="LUA29" s="55"/>
      <c r="LUC29" s="55"/>
      <c r="LUE29" s="55"/>
      <c r="LUG29" s="55"/>
      <c r="LUI29" s="55"/>
      <c r="LUK29" s="55"/>
      <c r="LUM29" s="55"/>
      <c r="LUO29" s="55"/>
      <c r="LUQ29" s="55"/>
      <c r="LUS29" s="55"/>
      <c r="LUU29" s="55"/>
      <c r="LUW29" s="55"/>
      <c r="LUY29" s="55"/>
      <c r="LVA29" s="55"/>
      <c r="LVC29" s="55"/>
      <c r="LVE29" s="55"/>
      <c r="LVG29" s="55"/>
      <c r="LVI29" s="55"/>
      <c r="LVK29" s="55"/>
      <c r="LVM29" s="55"/>
      <c r="LVO29" s="55"/>
      <c r="LVQ29" s="55"/>
      <c r="LVS29" s="55"/>
      <c r="LVU29" s="55"/>
      <c r="LVW29" s="55"/>
      <c r="LVY29" s="55"/>
      <c r="LWA29" s="55"/>
      <c r="LWC29" s="55"/>
      <c r="LWE29" s="55"/>
      <c r="LWG29" s="55"/>
      <c r="LWI29" s="55"/>
      <c r="LWK29" s="55"/>
      <c r="LWM29" s="55"/>
      <c r="LWO29" s="55"/>
      <c r="LWQ29" s="55"/>
      <c r="LWS29" s="55"/>
      <c r="LWU29" s="55"/>
      <c r="LWW29" s="55"/>
      <c r="LWY29" s="55"/>
      <c r="LXA29" s="55"/>
      <c r="LXC29" s="55"/>
      <c r="LXE29" s="55"/>
      <c r="LXG29" s="55"/>
      <c r="LXI29" s="55"/>
      <c r="LXK29" s="55"/>
      <c r="LXM29" s="55"/>
      <c r="LXO29" s="55"/>
      <c r="LXQ29" s="55"/>
      <c r="LXS29" s="55"/>
      <c r="LXU29" s="55"/>
      <c r="LXW29" s="55"/>
      <c r="LXY29" s="55"/>
      <c r="LYA29" s="55"/>
      <c r="LYC29" s="55"/>
      <c r="LYE29" s="55"/>
      <c r="LYG29" s="55"/>
      <c r="LYI29" s="55"/>
      <c r="LYK29" s="55"/>
      <c r="LYM29" s="55"/>
      <c r="LYO29" s="55"/>
      <c r="LYQ29" s="55"/>
      <c r="LYS29" s="55"/>
      <c r="LYU29" s="55"/>
      <c r="LYW29" s="55"/>
      <c r="LYY29" s="55"/>
      <c r="LZA29" s="55"/>
      <c r="LZC29" s="55"/>
      <c r="LZE29" s="55"/>
      <c r="LZG29" s="55"/>
      <c r="LZI29" s="55"/>
      <c r="LZK29" s="55"/>
      <c r="LZM29" s="55"/>
      <c r="LZO29" s="55"/>
      <c r="LZQ29" s="55"/>
      <c r="LZS29" s="55"/>
      <c r="LZU29" s="55"/>
      <c r="LZW29" s="55"/>
      <c r="LZY29" s="55"/>
      <c r="MAA29" s="55"/>
      <c r="MAC29" s="55"/>
      <c r="MAE29" s="55"/>
      <c r="MAG29" s="55"/>
      <c r="MAI29" s="55"/>
      <c r="MAK29" s="55"/>
      <c r="MAM29" s="55"/>
      <c r="MAO29" s="55"/>
      <c r="MAQ29" s="55"/>
      <c r="MAS29" s="55"/>
      <c r="MAU29" s="55"/>
      <c r="MAW29" s="55"/>
      <c r="MAY29" s="55"/>
      <c r="MBA29" s="55"/>
      <c r="MBC29" s="55"/>
      <c r="MBE29" s="55"/>
      <c r="MBG29" s="55"/>
      <c r="MBI29" s="55"/>
      <c r="MBK29" s="55"/>
      <c r="MBM29" s="55"/>
      <c r="MBO29" s="55"/>
      <c r="MBQ29" s="55"/>
      <c r="MBS29" s="55"/>
      <c r="MBU29" s="55"/>
      <c r="MBW29" s="55"/>
      <c r="MBY29" s="55"/>
      <c r="MCA29" s="55"/>
      <c r="MCC29" s="55"/>
      <c r="MCE29" s="55"/>
      <c r="MCG29" s="55"/>
      <c r="MCI29" s="55"/>
      <c r="MCK29" s="55"/>
      <c r="MCM29" s="55"/>
      <c r="MCO29" s="55"/>
      <c r="MCQ29" s="55"/>
      <c r="MCS29" s="55"/>
      <c r="MCU29" s="55"/>
      <c r="MCW29" s="55"/>
      <c r="MCY29" s="55"/>
      <c r="MDA29" s="55"/>
      <c r="MDC29" s="55"/>
      <c r="MDE29" s="55"/>
      <c r="MDG29" s="55"/>
      <c r="MDI29" s="55"/>
      <c r="MDK29" s="55"/>
      <c r="MDM29" s="55"/>
      <c r="MDO29" s="55"/>
      <c r="MDQ29" s="55"/>
      <c r="MDS29" s="55"/>
      <c r="MDU29" s="55"/>
      <c r="MDW29" s="55"/>
      <c r="MDY29" s="55"/>
      <c r="MEA29" s="55"/>
      <c r="MEC29" s="55"/>
      <c r="MEE29" s="55"/>
      <c r="MEG29" s="55"/>
      <c r="MEI29" s="55"/>
      <c r="MEK29" s="55"/>
      <c r="MEM29" s="55"/>
      <c r="MEO29" s="55"/>
      <c r="MEQ29" s="55"/>
      <c r="MES29" s="55"/>
      <c r="MEU29" s="55"/>
      <c r="MEW29" s="55"/>
      <c r="MEY29" s="55"/>
      <c r="MFA29" s="55"/>
      <c r="MFC29" s="55"/>
      <c r="MFE29" s="55"/>
      <c r="MFG29" s="55"/>
      <c r="MFI29" s="55"/>
      <c r="MFK29" s="55"/>
      <c r="MFM29" s="55"/>
      <c r="MFO29" s="55"/>
      <c r="MFQ29" s="55"/>
      <c r="MFS29" s="55"/>
      <c r="MFU29" s="55"/>
      <c r="MFW29" s="55"/>
      <c r="MFY29" s="55"/>
      <c r="MGA29" s="55"/>
      <c r="MGC29" s="55"/>
      <c r="MGE29" s="55"/>
      <c r="MGG29" s="55"/>
      <c r="MGI29" s="55"/>
      <c r="MGK29" s="55"/>
      <c r="MGM29" s="55"/>
      <c r="MGO29" s="55"/>
      <c r="MGQ29" s="55"/>
      <c r="MGS29" s="55"/>
      <c r="MGU29" s="55"/>
      <c r="MGW29" s="55"/>
      <c r="MGY29" s="55"/>
      <c r="MHA29" s="55"/>
      <c r="MHC29" s="55"/>
      <c r="MHE29" s="55"/>
      <c r="MHG29" s="55"/>
      <c r="MHI29" s="55"/>
      <c r="MHK29" s="55"/>
      <c r="MHM29" s="55"/>
      <c r="MHO29" s="55"/>
      <c r="MHQ29" s="55"/>
      <c r="MHS29" s="55"/>
      <c r="MHU29" s="55"/>
      <c r="MHW29" s="55"/>
      <c r="MHY29" s="55"/>
      <c r="MIA29" s="55"/>
      <c r="MIC29" s="55"/>
      <c r="MIE29" s="55"/>
      <c r="MIG29" s="55"/>
      <c r="MII29" s="55"/>
      <c r="MIK29" s="55"/>
      <c r="MIM29" s="55"/>
      <c r="MIO29" s="55"/>
      <c r="MIQ29" s="55"/>
      <c r="MIS29" s="55"/>
      <c r="MIU29" s="55"/>
      <c r="MIW29" s="55"/>
      <c r="MIY29" s="55"/>
      <c r="MJA29" s="55"/>
      <c r="MJC29" s="55"/>
      <c r="MJE29" s="55"/>
      <c r="MJG29" s="55"/>
      <c r="MJI29" s="55"/>
      <c r="MJK29" s="55"/>
      <c r="MJM29" s="55"/>
      <c r="MJO29" s="55"/>
      <c r="MJQ29" s="55"/>
      <c r="MJS29" s="55"/>
      <c r="MJU29" s="55"/>
      <c r="MJW29" s="55"/>
      <c r="MJY29" s="55"/>
      <c r="MKA29" s="55"/>
      <c r="MKC29" s="55"/>
      <c r="MKE29" s="55"/>
      <c r="MKG29" s="55"/>
      <c r="MKI29" s="55"/>
      <c r="MKK29" s="55"/>
      <c r="MKM29" s="55"/>
      <c r="MKO29" s="55"/>
      <c r="MKQ29" s="55"/>
      <c r="MKS29" s="55"/>
      <c r="MKU29" s="55"/>
      <c r="MKW29" s="55"/>
      <c r="MKY29" s="55"/>
      <c r="MLA29" s="55"/>
      <c r="MLC29" s="55"/>
      <c r="MLE29" s="55"/>
      <c r="MLG29" s="55"/>
      <c r="MLI29" s="55"/>
      <c r="MLK29" s="55"/>
      <c r="MLM29" s="55"/>
      <c r="MLO29" s="55"/>
      <c r="MLQ29" s="55"/>
      <c r="MLS29" s="55"/>
      <c r="MLU29" s="55"/>
      <c r="MLW29" s="55"/>
      <c r="MLY29" s="55"/>
      <c r="MMA29" s="55"/>
      <c r="MMC29" s="55"/>
      <c r="MME29" s="55"/>
      <c r="MMG29" s="55"/>
      <c r="MMI29" s="55"/>
      <c r="MMK29" s="55"/>
      <c r="MMM29" s="55"/>
      <c r="MMO29" s="55"/>
      <c r="MMQ29" s="55"/>
      <c r="MMS29" s="55"/>
      <c r="MMU29" s="55"/>
      <c r="MMW29" s="55"/>
      <c r="MMY29" s="55"/>
      <c r="MNA29" s="55"/>
      <c r="MNC29" s="55"/>
      <c r="MNE29" s="55"/>
      <c r="MNG29" s="55"/>
      <c r="MNI29" s="55"/>
      <c r="MNK29" s="55"/>
      <c r="MNM29" s="55"/>
      <c r="MNO29" s="55"/>
      <c r="MNQ29" s="55"/>
      <c r="MNS29" s="55"/>
      <c r="MNU29" s="55"/>
      <c r="MNW29" s="55"/>
      <c r="MNY29" s="55"/>
      <c r="MOA29" s="55"/>
      <c r="MOC29" s="55"/>
      <c r="MOE29" s="55"/>
      <c r="MOG29" s="55"/>
      <c r="MOI29" s="55"/>
      <c r="MOK29" s="55"/>
      <c r="MOM29" s="55"/>
      <c r="MOO29" s="55"/>
      <c r="MOQ29" s="55"/>
      <c r="MOS29" s="55"/>
      <c r="MOU29" s="55"/>
      <c r="MOW29" s="55"/>
      <c r="MOY29" s="55"/>
      <c r="MPA29" s="55"/>
      <c r="MPC29" s="55"/>
      <c r="MPE29" s="55"/>
      <c r="MPG29" s="55"/>
      <c r="MPI29" s="55"/>
      <c r="MPK29" s="55"/>
      <c r="MPM29" s="55"/>
      <c r="MPO29" s="55"/>
      <c r="MPQ29" s="55"/>
      <c r="MPS29" s="55"/>
      <c r="MPU29" s="55"/>
      <c r="MPW29" s="55"/>
      <c r="MPY29" s="55"/>
      <c r="MQA29" s="55"/>
      <c r="MQC29" s="55"/>
      <c r="MQE29" s="55"/>
      <c r="MQG29" s="55"/>
      <c r="MQI29" s="55"/>
      <c r="MQK29" s="55"/>
      <c r="MQM29" s="55"/>
      <c r="MQO29" s="55"/>
      <c r="MQQ29" s="55"/>
      <c r="MQS29" s="55"/>
      <c r="MQU29" s="55"/>
      <c r="MQW29" s="55"/>
      <c r="MQY29" s="55"/>
      <c r="MRA29" s="55"/>
      <c r="MRC29" s="55"/>
      <c r="MRE29" s="55"/>
      <c r="MRG29" s="55"/>
      <c r="MRI29" s="55"/>
      <c r="MRK29" s="55"/>
      <c r="MRM29" s="55"/>
      <c r="MRO29" s="55"/>
      <c r="MRQ29" s="55"/>
      <c r="MRS29" s="55"/>
      <c r="MRU29" s="55"/>
      <c r="MRW29" s="55"/>
      <c r="MRY29" s="55"/>
      <c r="MSA29" s="55"/>
      <c r="MSC29" s="55"/>
      <c r="MSE29" s="55"/>
      <c r="MSG29" s="55"/>
      <c r="MSI29" s="55"/>
      <c r="MSK29" s="55"/>
      <c r="MSM29" s="55"/>
      <c r="MSO29" s="55"/>
      <c r="MSQ29" s="55"/>
      <c r="MSS29" s="55"/>
      <c r="MSU29" s="55"/>
      <c r="MSW29" s="55"/>
      <c r="MSY29" s="55"/>
      <c r="MTA29" s="55"/>
      <c r="MTC29" s="55"/>
      <c r="MTE29" s="55"/>
      <c r="MTG29" s="55"/>
      <c r="MTI29" s="55"/>
      <c r="MTK29" s="55"/>
      <c r="MTM29" s="55"/>
      <c r="MTO29" s="55"/>
      <c r="MTQ29" s="55"/>
      <c r="MTS29" s="55"/>
      <c r="MTU29" s="55"/>
      <c r="MTW29" s="55"/>
      <c r="MTY29" s="55"/>
      <c r="MUA29" s="55"/>
      <c r="MUC29" s="55"/>
      <c r="MUE29" s="55"/>
      <c r="MUG29" s="55"/>
      <c r="MUI29" s="55"/>
      <c r="MUK29" s="55"/>
      <c r="MUM29" s="55"/>
      <c r="MUO29" s="55"/>
      <c r="MUQ29" s="55"/>
      <c r="MUS29" s="55"/>
      <c r="MUU29" s="55"/>
      <c r="MUW29" s="55"/>
      <c r="MUY29" s="55"/>
      <c r="MVA29" s="55"/>
      <c r="MVC29" s="55"/>
      <c r="MVE29" s="55"/>
      <c r="MVG29" s="55"/>
      <c r="MVI29" s="55"/>
      <c r="MVK29" s="55"/>
      <c r="MVM29" s="55"/>
      <c r="MVO29" s="55"/>
      <c r="MVQ29" s="55"/>
      <c r="MVS29" s="55"/>
      <c r="MVU29" s="55"/>
      <c r="MVW29" s="55"/>
      <c r="MVY29" s="55"/>
      <c r="MWA29" s="55"/>
      <c r="MWC29" s="55"/>
      <c r="MWE29" s="55"/>
      <c r="MWG29" s="55"/>
      <c r="MWI29" s="55"/>
      <c r="MWK29" s="55"/>
      <c r="MWM29" s="55"/>
      <c r="MWO29" s="55"/>
      <c r="MWQ29" s="55"/>
      <c r="MWS29" s="55"/>
      <c r="MWU29" s="55"/>
      <c r="MWW29" s="55"/>
      <c r="MWY29" s="55"/>
      <c r="MXA29" s="55"/>
      <c r="MXC29" s="55"/>
      <c r="MXE29" s="55"/>
      <c r="MXG29" s="55"/>
      <c r="MXI29" s="55"/>
      <c r="MXK29" s="55"/>
      <c r="MXM29" s="55"/>
      <c r="MXO29" s="55"/>
      <c r="MXQ29" s="55"/>
      <c r="MXS29" s="55"/>
      <c r="MXU29" s="55"/>
      <c r="MXW29" s="55"/>
      <c r="MXY29" s="55"/>
      <c r="MYA29" s="55"/>
      <c r="MYC29" s="55"/>
      <c r="MYE29" s="55"/>
      <c r="MYG29" s="55"/>
      <c r="MYI29" s="55"/>
      <c r="MYK29" s="55"/>
      <c r="MYM29" s="55"/>
      <c r="MYO29" s="55"/>
      <c r="MYQ29" s="55"/>
      <c r="MYS29" s="55"/>
      <c r="MYU29" s="55"/>
      <c r="MYW29" s="55"/>
      <c r="MYY29" s="55"/>
      <c r="MZA29" s="55"/>
      <c r="MZC29" s="55"/>
      <c r="MZE29" s="55"/>
      <c r="MZG29" s="55"/>
      <c r="MZI29" s="55"/>
      <c r="MZK29" s="55"/>
      <c r="MZM29" s="55"/>
      <c r="MZO29" s="55"/>
      <c r="MZQ29" s="55"/>
      <c r="MZS29" s="55"/>
      <c r="MZU29" s="55"/>
      <c r="MZW29" s="55"/>
      <c r="MZY29" s="55"/>
      <c r="NAA29" s="55"/>
      <c r="NAC29" s="55"/>
      <c r="NAE29" s="55"/>
      <c r="NAG29" s="55"/>
      <c r="NAI29" s="55"/>
      <c r="NAK29" s="55"/>
      <c r="NAM29" s="55"/>
      <c r="NAO29" s="55"/>
      <c r="NAQ29" s="55"/>
      <c r="NAS29" s="55"/>
      <c r="NAU29" s="55"/>
      <c r="NAW29" s="55"/>
      <c r="NAY29" s="55"/>
      <c r="NBA29" s="55"/>
      <c r="NBC29" s="55"/>
      <c r="NBE29" s="55"/>
      <c r="NBG29" s="55"/>
      <c r="NBI29" s="55"/>
      <c r="NBK29" s="55"/>
      <c r="NBM29" s="55"/>
      <c r="NBO29" s="55"/>
      <c r="NBQ29" s="55"/>
      <c r="NBS29" s="55"/>
      <c r="NBU29" s="55"/>
      <c r="NBW29" s="55"/>
      <c r="NBY29" s="55"/>
      <c r="NCA29" s="55"/>
      <c r="NCC29" s="55"/>
      <c r="NCE29" s="55"/>
      <c r="NCG29" s="55"/>
      <c r="NCI29" s="55"/>
      <c r="NCK29" s="55"/>
      <c r="NCM29" s="55"/>
      <c r="NCO29" s="55"/>
      <c r="NCQ29" s="55"/>
      <c r="NCS29" s="55"/>
      <c r="NCU29" s="55"/>
      <c r="NCW29" s="55"/>
      <c r="NCY29" s="55"/>
      <c r="NDA29" s="55"/>
      <c r="NDC29" s="55"/>
      <c r="NDE29" s="55"/>
      <c r="NDG29" s="55"/>
      <c r="NDI29" s="55"/>
      <c r="NDK29" s="55"/>
      <c r="NDM29" s="55"/>
      <c r="NDO29" s="55"/>
      <c r="NDQ29" s="55"/>
      <c r="NDS29" s="55"/>
      <c r="NDU29" s="55"/>
      <c r="NDW29" s="55"/>
      <c r="NDY29" s="55"/>
      <c r="NEA29" s="55"/>
      <c r="NEC29" s="55"/>
      <c r="NEE29" s="55"/>
      <c r="NEG29" s="55"/>
      <c r="NEI29" s="55"/>
      <c r="NEK29" s="55"/>
      <c r="NEM29" s="55"/>
      <c r="NEO29" s="55"/>
      <c r="NEQ29" s="55"/>
      <c r="NES29" s="55"/>
      <c r="NEU29" s="55"/>
      <c r="NEW29" s="55"/>
      <c r="NEY29" s="55"/>
      <c r="NFA29" s="55"/>
      <c r="NFC29" s="55"/>
      <c r="NFE29" s="55"/>
      <c r="NFG29" s="55"/>
      <c r="NFI29" s="55"/>
      <c r="NFK29" s="55"/>
      <c r="NFM29" s="55"/>
      <c r="NFO29" s="55"/>
      <c r="NFQ29" s="55"/>
      <c r="NFS29" s="55"/>
      <c r="NFU29" s="55"/>
      <c r="NFW29" s="55"/>
      <c r="NFY29" s="55"/>
      <c r="NGA29" s="55"/>
      <c r="NGC29" s="55"/>
      <c r="NGE29" s="55"/>
      <c r="NGG29" s="55"/>
      <c r="NGI29" s="55"/>
      <c r="NGK29" s="55"/>
      <c r="NGM29" s="55"/>
      <c r="NGO29" s="55"/>
      <c r="NGQ29" s="55"/>
      <c r="NGS29" s="55"/>
      <c r="NGU29" s="55"/>
      <c r="NGW29" s="55"/>
      <c r="NGY29" s="55"/>
      <c r="NHA29" s="55"/>
      <c r="NHC29" s="55"/>
      <c r="NHE29" s="55"/>
      <c r="NHG29" s="55"/>
      <c r="NHI29" s="55"/>
      <c r="NHK29" s="55"/>
      <c r="NHM29" s="55"/>
      <c r="NHO29" s="55"/>
      <c r="NHQ29" s="55"/>
      <c r="NHS29" s="55"/>
      <c r="NHU29" s="55"/>
      <c r="NHW29" s="55"/>
      <c r="NHY29" s="55"/>
      <c r="NIA29" s="55"/>
      <c r="NIC29" s="55"/>
      <c r="NIE29" s="55"/>
      <c r="NIG29" s="55"/>
      <c r="NII29" s="55"/>
      <c r="NIK29" s="55"/>
      <c r="NIM29" s="55"/>
      <c r="NIO29" s="55"/>
      <c r="NIQ29" s="55"/>
      <c r="NIS29" s="55"/>
      <c r="NIU29" s="55"/>
      <c r="NIW29" s="55"/>
      <c r="NIY29" s="55"/>
      <c r="NJA29" s="55"/>
      <c r="NJC29" s="55"/>
      <c r="NJE29" s="55"/>
      <c r="NJG29" s="55"/>
      <c r="NJI29" s="55"/>
      <c r="NJK29" s="55"/>
      <c r="NJM29" s="55"/>
      <c r="NJO29" s="55"/>
      <c r="NJQ29" s="55"/>
      <c r="NJS29" s="55"/>
      <c r="NJU29" s="55"/>
      <c r="NJW29" s="55"/>
      <c r="NJY29" s="55"/>
      <c r="NKA29" s="55"/>
      <c r="NKC29" s="55"/>
      <c r="NKE29" s="55"/>
      <c r="NKG29" s="55"/>
      <c r="NKI29" s="55"/>
      <c r="NKK29" s="55"/>
      <c r="NKM29" s="55"/>
      <c r="NKO29" s="55"/>
      <c r="NKQ29" s="55"/>
      <c r="NKS29" s="55"/>
      <c r="NKU29" s="55"/>
      <c r="NKW29" s="55"/>
      <c r="NKY29" s="55"/>
      <c r="NLA29" s="55"/>
      <c r="NLC29" s="55"/>
      <c r="NLE29" s="55"/>
      <c r="NLG29" s="55"/>
      <c r="NLI29" s="55"/>
      <c r="NLK29" s="55"/>
      <c r="NLM29" s="55"/>
      <c r="NLO29" s="55"/>
      <c r="NLQ29" s="55"/>
      <c r="NLS29" s="55"/>
      <c r="NLU29" s="55"/>
      <c r="NLW29" s="55"/>
      <c r="NLY29" s="55"/>
      <c r="NMA29" s="55"/>
      <c r="NMC29" s="55"/>
      <c r="NME29" s="55"/>
      <c r="NMG29" s="55"/>
      <c r="NMI29" s="55"/>
      <c r="NMK29" s="55"/>
      <c r="NMM29" s="55"/>
      <c r="NMO29" s="55"/>
      <c r="NMQ29" s="55"/>
      <c r="NMS29" s="55"/>
      <c r="NMU29" s="55"/>
      <c r="NMW29" s="55"/>
      <c r="NMY29" s="55"/>
      <c r="NNA29" s="55"/>
      <c r="NNC29" s="55"/>
      <c r="NNE29" s="55"/>
      <c r="NNG29" s="55"/>
      <c r="NNI29" s="55"/>
      <c r="NNK29" s="55"/>
      <c r="NNM29" s="55"/>
      <c r="NNO29" s="55"/>
      <c r="NNQ29" s="55"/>
      <c r="NNS29" s="55"/>
      <c r="NNU29" s="55"/>
      <c r="NNW29" s="55"/>
      <c r="NNY29" s="55"/>
      <c r="NOA29" s="55"/>
      <c r="NOC29" s="55"/>
      <c r="NOE29" s="55"/>
      <c r="NOG29" s="55"/>
      <c r="NOI29" s="55"/>
      <c r="NOK29" s="55"/>
      <c r="NOM29" s="55"/>
      <c r="NOO29" s="55"/>
      <c r="NOQ29" s="55"/>
      <c r="NOS29" s="55"/>
      <c r="NOU29" s="55"/>
      <c r="NOW29" s="55"/>
      <c r="NOY29" s="55"/>
      <c r="NPA29" s="55"/>
      <c r="NPC29" s="55"/>
      <c r="NPE29" s="55"/>
      <c r="NPG29" s="55"/>
      <c r="NPI29" s="55"/>
      <c r="NPK29" s="55"/>
      <c r="NPM29" s="55"/>
      <c r="NPO29" s="55"/>
      <c r="NPQ29" s="55"/>
      <c r="NPS29" s="55"/>
      <c r="NPU29" s="55"/>
      <c r="NPW29" s="55"/>
      <c r="NPY29" s="55"/>
      <c r="NQA29" s="55"/>
      <c r="NQC29" s="55"/>
      <c r="NQE29" s="55"/>
      <c r="NQG29" s="55"/>
      <c r="NQI29" s="55"/>
      <c r="NQK29" s="55"/>
      <c r="NQM29" s="55"/>
      <c r="NQO29" s="55"/>
      <c r="NQQ29" s="55"/>
      <c r="NQS29" s="55"/>
      <c r="NQU29" s="55"/>
      <c r="NQW29" s="55"/>
      <c r="NQY29" s="55"/>
      <c r="NRA29" s="55"/>
      <c r="NRC29" s="55"/>
      <c r="NRE29" s="55"/>
      <c r="NRG29" s="55"/>
      <c r="NRI29" s="55"/>
      <c r="NRK29" s="55"/>
      <c r="NRM29" s="55"/>
      <c r="NRO29" s="55"/>
      <c r="NRQ29" s="55"/>
      <c r="NRS29" s="55"/>
      <c r="NRU29" s="55"/>
      <c r="NRW29" s="55"/>
      <c r="NRY29" s="55"/>
      <c r="NSA29" s="55"/>
      <c r="NSC29" s="55"/>
      <c r="NSE29" s="55"/>
      <c r="NSG29" s="55"/>
      <c r="NSI29" s="55"/>
      <c r="NSK29" s="55"/>
      <c r="NSM29" s="55"/>
      <c r="NSO29" s="55"/>
      <c r="NSQ29" s="55"/>
      <c r="NSS29" s="55"/>
      <c r="NSU29" s="55"/>
      <c r="NSW29" s="55"/>
      <c r="NSY29" s="55"/>
      <c r="NTA29" s="55"/>
      <c r="NTC29" s="55"/>
      <c r="NTE29" s="55"/>
      <c r="NTG29" s="55"/>
      <c r="NTI29" s="55"/>
      <c r="NTK29" s="55"/>
      <c r="NTM29" s="55"/>
      <c r="NTO29" s="55"/>
      <c r="NTQ29" s="55"/>
      <c r="NTS29" s="55"/>
      <c r="NTU29" s="55"/>
      <c r="NTW29" s="55"/>
      <c r="NTY29" s="55"/>
      <c r="NUA29" s="55"/>
      <c r="NUC29" s="55"/>
      <c r="NUE29" s="55"/>
      <c r="NUG29" s="55"/>
      <c r="NUI29" s="55"/>
      <c r="NUK29" s="55"/>
      <c r="NUM29" s="55"/>
      <c r="NUO29" s="55"/>
      <c r="NUQ29" s="55"/>
      <c r="NUS29" s="55"/>
      <c r="NUU29" s="55"/>
      <c r="NUW29" s="55"/>
      <c r="NUY29" s="55"/>
      <c r="NVA29" s="55"/>
      <c r="NVC29" s="55"/>
      <c r="NVE29" s="55"/>
      <c r="NVG29" s="55"/>
      <c r="NVI29" s="55"/>
      <c r="NVK29" s="55"/>
      <c r="NVM29" s="55"/>
      <c r="NVO29" s="55"/>
      <c r="NVQ29" s="55"/>
      <c r="NVS29" s="55"/>
      <c r="NVU29" s="55"/>
      <c r="NVW29" s="55"/>
      <c r="NVY29" s="55"/>
      <c r="NWA29" s="55"/>
      <c r="NWC29" s="55"/>
      <c r="NWE29" s="55"/>
      <c r="NWG29" s="55"/>
      <c r="NWI29" s="55"/>
      <c r="NWK29" s="55"/>
      <c r="NWM29" s="55"/>
      <c r="NWO29" s="55"/>
      <c r="NWQ29" s="55"/>
      <c r="NWS29" s="55"/>
      <c r="NWU29" s="55"/>
      <c r="NWW29" s="55"/>
      <c r="NWY29" s="55"/>
      <c r="NXA29" s="55"/>
      <c r="NXC29" s="55"/>
      <c r="NXE29" s="55"/>
      <c r="NXG29" s="55"/>
      <c r="NXI29" s="55"/>
      <c r="NXK29" s="55"/>
      <c r="NXM29" s="55"/>
      <c r="NXO29" s="55"/>
      <c r="NXQ29" s="55"/>
      <c r="NXS29" s="55"/>
      <c r="NXU29" s="55"/>
      <c r="NXW29" s="55"/>
      <c r="NXY29" s="55"/>
      <c r="NYA29" s="55"/>
      <c r="NYC29" s="55"/>
      <c r="NYE29" s="55"/>
      <c r="NYG29" s="55"/>
      <c r="NYI29" s="55"/>
      <c r="NYK29" s="55"/>
      <c r="NYM29" s="55"/>
      <c r="NYO29" s="55"/>
      <c r="NYQ29" s="55"/>
      <c r="NYS29" s="55"/>
      <c r="NYU29" s="55"/>
      <c r="NYW29" s="55"/>
      <c r="NYY29" s="55"/>
      <c r="NZA29" s="55"/>
      <c r="NZC29" s="55"/>
      <c r="NZE29" s="55"/>
      <c r="NZG29" s="55"/>
      <c r="NZI29" s="55"/>
      <c r="NZK29" s="55"/>
      <c r="NZM29" s="55"/>
      <c r="NZO29" s="55"/>
      <c r="NZQ29" s="55"/>
      <c r="NZS29" s="55"/>
      <c r="NZU29" s="55"/>
      <c r="NZW29" s="55"/>
      <c r="NZY29" s="55"/>
      <c r="OAA29" s="55"/>
      <c r="OAC29" s="55"/>
      <c r="OAE29" s="55"/>
      <c r="OAG29" s="55"/>
      <c r="OAI29" s="55"/>
      <c r="OAK29" s="55"/>
      <c r="OAM29" s="55"/>
      <c r="OAO29" s="55"/>
      <c r="OAQ29" s="55"/>
      <c r="OAS29" s="55"/>
      <c r="OAU29" s="55"/>
      <c r="OAW29" s="55"/>
      <c r="OAY29" s="55"/>
      <c r="OBA29" s="55"/>
      <c r="OBC29" s="55"/>
      <c r="OBE29" s="55"/>
      <c r="OBG29" s="55"/>
      <c r="OBI29" s="55"/>
      <c r="OBK29" s="55"/>
      <c r="OBM29" s="55"/>
      <c r="OBO29" s="55"/>
      <c r="OBQ29" s="55"/>
      <c r="OBS29" s="55"/>
      <c r="OBU29" s="55"/>
      <c r="OBW29" s="55"/>
      <c r="OBY29" s="55"/>
      <c r="OCA29" s="55"/>
      <c r="OCC29" s="55"/>
      <c r="OCE29" s="55"/>
      <c r="OCG29" s="55"/>
      <c r="OCI29" s="55"/>
      <c r="OCK29" s="55"/>
      <c r="OCM29" s="55"/>
      <c r="OCO29" s="55"/>
      <c r="OCQ29" s="55"/>
      <c r="OCS29" s="55"/>
      <c r="OCU29" s="55"/>
      <c r="OCW29" s="55"/>
      <c r="OCY29" s="55"/>
      <c r="ODA29" s="55"/>
      <c r="ODC29" s="55"/>
      <c r="ODE29" s="55"/>
      <c r="ODG29" s="55"/>
      <c r="ODI29" s="55"/>
      <c r="ODK29" s="55"/>
      <c r="ODM29" s="55"/>
      <c r="ODO29" s="55"/>
      <c r="ODQ29" s="55"/>
      <c r="ODS29" s="55"/>
      <c r="ODU29" s="55"/>
      <c r="ODW29" s="55"/>
      <c r="ODY29" s="55"/>
      <c r="OEA29" s="55"/>
      <c r="OEC29" s="55"/>
      <c r="OEE29" s="55"/>
      <c r="OEG29" s="55"/>
      <c r="OEI29" s="55"/>
      <c r="OEK29" s="55"/>
      <c r="OEM29" s="55"/>
      <c r="OEO29" s="55"/>
      <c r="OEQ29" s="55"/>
      <c r="OES29" s="55"/>
      <c r="OEU29" s="55"/>
      <c r="OEW29" s="55"/>
      <c r="OEY29" s="55"/>
      <c r="OFA29" s="55"/>
      <c r="OFC29" s="55"/>
      <c r="OFE29" s="55"/>
      <c r="OFG29" s="55"/>
      <c r="OFI29" s="55"/>
      <c r="OFK29" s="55"/>
      <c r="OFM29" s="55"/>
      <c r="OFO29" s="55"/>
      <c r="OFQ29" s="55"/>
      <c r="OFS29" s="55"/>
      <c r="OFU29" s="55"/>
      <c r="OFW29" s="55"/>
      <c r="OFY29" s="55"/>
      <c r="OGA29" s="55"/>
      <c r="OGC29" s="55"/>
      <c r="OGE29" s="55"/>
      <c r="OGG29" s="55"/>
      <c r="OGI29" s="55"/>
      <c r="OGK29" s="55"/>
      <c r="OGM29" s="55"/>
      <c r="OGO29" s="55"/>
      <c r="OGQ29" s="55"/>
      <c r="OGS29" s="55"/>
      <c r="OGU29" s="55"/>
      <c r="OGW29" s="55"/>
      <c r="OGY29" s="55"/>
      <c r="OHA29" s="55"/>
      <c r="OHC29" s="55"/>
      <c r="OHE29" s="55"/>
      <c r="OHG29" s="55"/>
      <c r="OHI29" s="55"/>
      <c r="OHK29" s="55"/>
      <c r="OHM29" s="55"/>
      <c r="OHO29" s="55"/>
      <c r="OHQ29" s="55"/>
      <c r="OHS29" s="55"/>
      <c r="OHU29" s="55"/>
      <c r="OHW29" s="55"/>
      <c r="OHY29" s="55"/>
      <c r="OIA29" s="55"/>
      <c r="OIC29" s="55"/>
      <c r="OIE29" s="55"/>
      <c r="OIG29" s="55"/>
      <c r="OII29" s="55"/>
      <c r="OIK29" s="55"/>
      <c r="OIM29" s="55"/>
      <c r="OIO29" s="55"/>
      <c r="OIQ29" s="55"/>
      <c r="OIS29" s="55"/>
      <c r="OIU29" s="55"/>
      <c r="OIW29" s="55"/>
      <c r="OIY29" s="55"/>
      <c r="OJA29" s="55"/>
      <c r="OJC29" s="55"/>
      <c r="OJE29" s="55"/>
      <c r="OJG29" s="55"/>
      <c r="OJI29" s="55"/>
      <c r="OJK29" s="55"/>
      <c r="OJM29" s="55"/>
      <c r="OJO29" s="55"/>
      <c r="OJQ29" s="55"/>
      <c r="OJS29" s="55"/>
      <c r="OJU29" s="55"/>
      <c r="OJW29" s="55"/>
      <c r="OJY29" s="55"/>
      <c r="OKA29" s="55"/>
      <c r="OKC29" s="55"/>
      <c r="OKE29" s="55"/>
      <c r="OKG29" s="55"/>
      <c r="OKI29" s="55"/>
      <c r="OKK29" s="55"/>
      <c r="OKM29" s="55"/>
      <c r="OKO29" s="55"/>
      <c r="OKQ29" s="55"/>
      <c r="OKS29" s="55"/>
      <c r="OKU29" s="55"/>
      <c r="OKW29" s="55"/>
      <c r="OKY29" s="55"/>
      <c r="OLA29" s="55"/>
      <c r="OLC29" s="55"/>
      <c r="OLE29" s="55"/>
      <c r="OLG29" s="55"/>
      <c r="OLI29" s="55"/>
      <c r="OLK29" s="55"/>
      <c r="OLM29" s="55"/>
      <c r="OLO29" s="55"/>
      <c r="OLQ29" s="55"/>
      <c r="OLS29" s="55"/>
      <c r="OLU29" s="55"/>
      <c r="OLW29" s="55"/>
      <c r="OLY29" s="55"/>
      <c r="OMA29" s="55"/>
      <c r="OMC29" s="55"/>
      <c r="OME29" s="55"/>
      <c r="OMG29" s="55"/>
      <c r="OMI29" s="55"/>
      <c r="OMK29" s="55"/>
      <c r="OMM29" s="55"/>
      <c r="OMO29" s="55"/>
      <c r="OMQ29" s="55"/>
      <c r="OMS29" s="55"/>
      <c r="OMU29" s="55"/>
      <c r="OMW29" s="55"/>
      <c r="OMY29" s="55"/>
      <c r="ONA29" s="55"/>
      <c r="ONC29" s="55"/>
      <c r="ONE29" s="55"/>
      <c r="ONG29" s="55"/>
      <c r="ONI29" s="55"/>
      <c r="ONK29" s="55"/>
      <c r="ONM29" s="55"/>
      <c r="ONO29" s="55"/>
      <c r="ONQ29" s="55"/>
      <c r="ONS29" s="55"/>
      <c r="ONU29" s="55"/>
      <c r="ONW29" s="55"/>
      <c r="ONY29" s="55"/>
      <c r="OOA29" s="55"/>
      <c r="OOC29" s="55"/>
      <c r="OOE29" s="55"/>
      <c r="OOG29" s="55"/>
      <c r="OOI29" s="55"/>
      <c r="OOK29" s="55"/>
      <c r="OOM29" s="55"/>
      <c r="OOO29" s="55"/>
      <c r="OOQ29" s="55"/>
      <c r="OOS29" s="55"/>
      <c r="OOU29" s="55"/>
      <c r="OOW29" s="55"/>
      <c r="OOY29" s="55"/>
      <c r="OPA29" s="55"/>
      <c r="OPC29" s="55"/>
      <c r="OPE29" s="55"/>
      <c r="OPG29" s="55"/>
      <c r="OPI29" s="55"/>
      <c r="OPK29" s="55"/>
      <c r="OPM29" s="55"/>
      <c r="OPO29" s="55"/>
      <c r="OPQ29" s="55"/>
      <c r="OPS29" s="55"/>
      <c r="OPU29" s="55"/>
      <c r="OPW29" s="55"/>
      <c r="OPY29" s="55"/>
      <c r="OQA29" s="55"/>
      <c r="OQC29" s="55"/>
      <c r="OQE29" s="55"/>
      <c r="OQG29" s="55"/>
      <c r="OQI29" s="55"/>
      <c r="OQK29" s="55"/>
      <c r="OQM29" s="55"/>
      <c r="OQO29" s="55"/>
      <c r="OQQ29" s="55"/>
      <c r="OQS29" s="55"/>
      <c r="OQU29" s="55"/>
      <c r="OQW29" s="55"/>
      <c r="OQY29" s="55"/>
      <c r="ORA29" s="55"/>
      <c r="ORC29" s="55"/>
      <c r="ORE29" s="55"/>
      <c r="ORG29" s="55"/>
      <c r="ORI29" s="55"/>
      <c r="ORK29" s="55"/>
      <c r="ORM29" s="55"/>
      <c r="ORO29" s="55"/>
      <c r="ORQ29" s="55"/>
      <c r="ORS29" s="55"/>
      <c r="ORU29" s="55"/>
      <c r="ORW29" s="55"/>
      <c r="ORY29" s="55"/>
      <c r="OSA29" s="55"/>
      <c r="OSC29" s="55"/>
      <c r="OSE29" s="55"/>
      <c r="OSG29" s="55"/>
      <c r="OSI29" s="55"/>
      <c r="OSK29" s="55"/>
      <c r="OSM29" s="55"/>
      <c r="OSO29" s="55"/>
      <c r="OSQ29" s="55"/>
      <c r="OSS29" s="55"/>
      <c r="OSU29" s="55"/>
      <c r="OSW29" s="55"/>
      <c r="OSY29" s="55"/>
      <c r="OTA29" s="55"/>
      <c r="OTC29" s="55"/>
      <c r="OTE29" s="55"/>
      <c r="OTG29" s="55"/>
      <c r="OTI29" s="55"/>
      <c r="OTK29" s="55"/>
      <c r="OTM29" s="55"/>
      <c r="OTO29" s="55"/>
      <c r="OTQ29" s="55"/>
      <c r="OTS29" s="55"/>
      <c r="OTU29" s="55"/>
      <c r="OTW29" s="55"/>
      <c r="OTY29" s="55"/>
      <c r="OUA29" s="55"/>
      <c r="OUC29" s="55"/>
      <c r="OUE29" s="55"/>
      <c r="OUG29" s="55"/>
      <c r="OUI29" s="55"/>
      <c r="OUK29" s="55"/>
      <c r="OUM29" s="55"/>
      <c r="OUO29" s="55"/>
      <c r="OUQ29" s="55"/>
      <c r="OUS29" s="55"/>
      <c r="OUU29" s="55"/>
      <c r="OUW29" s="55"/>
      <c r="OUY29" s="55"/>
      <c r="OVA29" s="55"/>
      <c r="OVC29" s="55"/>
      <c r="OVE29" s="55"/>
      <c r="OVG29" s="55"/>
      <c r="OVI29" s="55"/>
      <c r="OVK29" s="55"/>
      <c r="OVM29" s="55"/>
      <c r="OVO29" s="55"/>
      <c r="OVQ29" s="55"/>
      <c r="OVS29" s="55"/>
      <c r="OVU29" s="55"/>
      <c r="OVW29" s="55"/>
      <c r="OVY29" s="55"/>
      <c r="OWA29" s="55"/>
      <c r="OWC29" s="55"/>
      <c r="OWE29" s="55"/>
      <c r="OWG29" s="55"/>
      <c r="OWI29" s="55"/>
      <c r="OWK29" s="55"/>
      <c r="OWM29" s="55"/>
      <c r="OWO29" s="55"/>
      <c r="OWQ29" s="55"/>
      <c r="OWS29" s="55"/>
      <c r="OWU29" s="55"/>
      <c r="OWW29" s="55"/>
      <c r="OWY29" s="55"/>
      <c r="OXA29" s="55"/>
      <c r="OXC29" s="55"/>
      <c r="OXE29" s="55"/>
      <c r="OXG29" s="55"/>
      <c r="OXI29" s="55"/>
      <c r="OXK29" s="55"/>
      <c r="OXM29" s="55"/>
      <c r="OXO29" s="55"/>
      <c r="OXQ29" s="55"/>
      <c r="OXS29" s="55"/>
      <c r="OXU29" s="55"/>
      <c r="OXW29" s="55"/>
      <c r="OXY29" s="55"/>
      <c r="OYA29" s="55"/>
      <c r="OYC29" s="55"/>
      <c r="OYE29" s="55"/>
      <c r="OYG29" s="55"/>
      <c r="OYI29" s="55"/>
      <c r="OYK29" s="55"/>
      <c r="OYM29" s="55"/>
      <c r="OYO29" s="55"/>
      <c r="OYQ29" s="55"/>
      <c r="OYS29" s="55"/>
      <c r="OYU29" s="55"/>
      <c r="OYW29" s="55"/>
      <c r="OYY29" s="55"/>
      <c r="OZA29" s="55"/>
      <c r="OZC29" s="55"/>
      <c r="OZE29" s="55"/>
      <c r="OZG29" s="55"/>
      <c r="OZI29" s="55"/>
      <c r="OZK29" s="55"/>
      <c r="OZM29" s="55"/>
      <c r="OZO29" s="55"/>
      <c r="OZQ29" s="55"/>
      <c r="OZS29" s="55"/>
      <c r="OZU29" s="55"/>
      <c r="OZW29" s="55"/>
      <c r="OZY29" s="55"/>
      <c r="PAA29" s="55"/>
      <c r="PAC29" s="55"/>
      <c r="PAE29" s="55"/>
      <c r="PAG29" s="55"/>
      <c r="PAI29" s="55"/>
      <c r="PAK29" s="55"/>
      <c r="PAM29" s="55"/>
      <c r="PAO29" s="55"/>
      <c r="PAQ29" s="55"/>
      <c r="PAS29" s="55"/>
      <c r="PAU29" s="55"/>
      <c r="PAW29" s="55"/>
      <c r="PAY29" s="55"/>
      <c r="PBA29" s="55"/>
      <c r="PBC29" s="55"/>
      <c r="PBE29" s="55"/>
      <c r="PBG29" s="55"/>
      <c r="PBI29" s="55"/>
      <c r="PBK29" s="55"/>
      <c r="PBM29" s="55"/>
      <c r="PBO29" s="55"/>
      <c r="PBQ29" s="55"/>
      <c r="PBS29" s="55"/>
      <c r="PBU29" s="55"/>
      <c r="PBW29" s="55"/>
      <c r="PBY29" s="55"/>
      <c r="PCA29" s="55"/>
      <c r="PCC29" s="55"/>
      <c r="PCE29" s="55"/>
      <c r="PCG29" s="55"/>
      <c r="PCI29" s="55"/>
      <c r="PCK29" s="55"/>
      <c r="PCM29" s="55"/>
      <c r="PCO29" s="55"/>
      <c r="PCQ29" s="55"/>
      <c r="PCS29" s="55"/>
      <c r="PCU29" s="55"/>
      <c r="PCW29" s="55"/>
      <c r="PCY29" s="55"/>
      <c r="PDA29" s="55"/>
      <c r="PDC29" s="55"/>
      <c r="PDE29" s="55"/>
      <c r="PDG29" s="55"/>
      <c r="PDI29" s="55"/>
      <c r="PDK29" s="55"/>
      <c r="PDM29" s="55"/>
      <c r="PDO29" s="55"/>
      <c r="PDQ29" s="55"/>
      <c r="PDS29" s="55"/>
      <c r="PDU29" s="55"/>
      <c r="PDW29" s="55"/>
      <c r="PDY29" s="55"/>
      <c r="PEA29" s="55"/>
      <c r="PEC29" s="55"/>
      <c r="PEE29" s="55"/>
      <c r="PEG29" s="55"/>
      <c r="PEI29" s="55"/>
      <c r="PEK29" s="55"/>
      <c r="PEM29" s="55"/>
      <c r="PEO29" s="55"/>
      <c r="PEQ29" s="55"/>
      <c r="PES29" s="55"/>
      <c r="PEU29" s="55"/>
      <c r="PEW29" s="55"/>
      <c r="PEY29" s="55"/>
      <c r="PFA29" s="55"/>
      <c r="PFC29" s="55"/>
      <c r="PFE29" s="55"/>
      <c r="PFG29" s="55"/>
      <c r="PFI29" s="55"/>
      <c r="PFK29" s="55"/>
      <c r="PFM29" s="55"/>
      <c r="PFO29" s="55"/>
      <c r="PFQ29" s="55"/>
      <c r="PFS29" s="55"/>
      <c r="PFU29" s="55"/>
      <c r="PFW29" s="55"/>
      <c r="PFY29" s="55"/>
      <c r="PGA29" s="55"/>
      <c r="PGC29" s="55"/>
      <c r="PGE29" s="55"/>
      <c r="PGG29" s="55"/>
      <c r="PGI29" s="55"/>
      <c r="PGK29" s="55"/>
      <c r="PGM29" s="55"/>
      <c r="PGO29" s="55"/>
      <c r="PGQ29" s="55"/>
      <c r="PGS29" s="55"/>
      <c r="PGU29" s="55"/>
      <c r="PGW29" s="55"/>
      <c r="PGY29" s="55"/>
      <c r="PHA29" s="55"/>
      <c r="PHC29" s="55"/>
      <c r="PHE29" s="55"/>
      <c r="PHG29" s="55"/>
      <c r="PHI29" s="55"/>
      <c r="PHK29" s="55"/>
      <c r="PHM29" s="55"/>
      <c r="PHO29" s="55"/>
      <c r="PHQ29" s="55"/>
      <c r="PHS29" s="55"/>
      <c r="PHU29" s="55"/>
      <c r="PHW29" s="55"/>
      <c r="PHY29" s="55"/>
      <c r="PIA29" s="55"/>
      <c r="PIC29" s="55"/>
      <c r="PIE29" s="55"/>
      <c r="PIG29" s="55"/>
      <c r="PII29" s="55"/>
      <c r="PIK29" s="55"/>
      <c r="PIM29" s="55"/>
      <c r="PIO29" s="55"/>
      <c r="PIQ29" s="55"/>
      <c r="PIS29" s="55"/>
      <c r="PIU29" s="55"/>
      <c r="PIW29" s="55"/>
      <c r="PIY29" s="55"/>
      <c r="PJA29" s="55"/>
      <c r="PJC29" s="55"/>
      <c r="PJE29" s="55"/>
      <c r="PJG29" s="55"/>
      <c r="PJI29" s="55"/>
      <c r="PJK29" s="55"/>
      <c r="PJM29" s="55"/>
      <c r="PJO29" s="55"/>
      <c r="PJQ29" s="55"/>
      <c r="PJS29" s="55"/>
      <c r="PJU29" s="55"/>
      <c r="PJW29" s="55"/>
      <c r="PJY29" s="55"/>
      <c r="PKA29" s="55"/>
      <c r="PKC29" s="55"/>
      <c r="PKE29" s="55"/>
      <c r="PKG29" s="55"/>
      <c r="PKI29" s="55"/>
      <c r="PKK29" s="55"/>
      <c r="PKM29" s="55"/>
      <c r="PKO29" s="55"/>
      <c r="PKQ29" s="55"/>
      <c r="PKS29" s="55"/>
      <c r="PKU29" s="55"/>
      <c r="PKW29" s="55"/>
      <c r="PKY29" s="55"/>
      <c r="PLA29" s="55"/>
      <c r="PLC29" s="55"/>
      <c r="PLE29" s="55"/>
      <c r="PLG29" s="55"/>
      <c r="PLI29" s="55"/>
      <c r="PLK29" s="55"/>
      <c r="PLM29" s="55"/>
      <c r="PLO29" s="55"/>
      <c r="PLQ29" s="55"/>
      <c r="PLS29" s="55"/>
      <c r="PLU29" s="55"/>
      <c r="PLW29" s="55"/>
      <c r="PLY29" s="55"/>
      <c r="PMA29" s="55"/>
      <c r="PMC29" s="55"/>
      <c r="PME29" s="55"/>
      <c r="PMG29" s="55"/>
      <c r="PMI29" s="55"/>
      <c r="PMK29" s="55"/>
      <c r="PMM29" s="55"/>
      <c r="PMO29" s="55"/>
      <c r="PMQ29" s="55"/>
      <c r="PMS29" s="55"/>
      <c r="PMU29" s="55"/>
      <c r="PMW29" s="55"/>
      <c r="PMY29" s="55"/>
      <c r="PNA29" s="55"/>
      <c r="PNC29" s="55"/>
      <c r="PNE29" s="55"/>
      <c r="PNG29" s="55"/>
      <c r="PNI29" s="55"/>
      <c r="PNK29" s="55"/>
      <c r="PNM29" s="55"/>
      <c r="PNO29" s="55"/>
      <c r="PNQ29" s="55"/>
      <c r="PNS29" s="55"/>
      <c r="PNU29" s="55"/>
      <c r="PNW29" s="55"/>
      <c r="PNY29" s="55"/>
      <c r="POA29" s="55"/>
      <c r="POC29" s="55"/>
      <c r="POE29" s="55"/>
      <c r="POG29" s="55"/>
      <c r="POI29" s="55"/>
      <c r="POK29" s="55"/>
      <c r="POM29" s="55"/>
      <c r="POO29" s="55"/>
      <c r="POQ29" s="55"/>
      <c r="POS29" s="55"/>
      <c r="POU29" s="55"/>
      <c r="POW29" s="55"/>
      <c r="POY29" s="55"/>
      <c r="PPA29" s="55"/>
      <c r="PPC29" s="55"/>
      <c r="PPE29" s="55"/>
      <c r="PPG29" s="55"/>
      <c r="PPI29" s="55"/>
      <c r="PPK29" s="55"/>
      <c r="PPM29" s="55"/>
      <c r="PPO29" s="55"/>
      <c r="PPQ29" s="55"/>
      <c r="PPS29" s="55"/>
      <c r="PPU29" s="55"/>
      <c r="PPW29" s="55"/>
      <c r="PPY29" s="55"/>
      <c r="PQA29" s="55"/>
      <c r="PQC29" s="55"/>
      <c r="PQE29" s="55"/>
      <c r="PQG29" s="55"/>
      <c r="PQI29" s="55"/>
      <c r="PQK29" s="55"/>
      <c r="PQM29" s="55"/>
      <c r="PQO29" s="55"/>
      <c r="PQQ29" s="55"/>
      <c r="PQS29" s="55"/>
      <c r="PQU29" s="55"/>
      <c r="PQW29" s="55"/>
      <c r="PQY29" s="55"/>
      <c r="PRA29" s="55"/>
      <c r="PRC29" s="55"/>
      <c r="PRE29" s="55"/>
      <c r="PRG29" s="55"/>
      <c r="PRI29" s="55"/>
      <c r="PRK29" s="55"/>
      <c r="PRM29" s="55"/>
      <c r="PRO29" s="55"/>
      <c r="PRQ29" s="55"/>
      <c r="PRS29" s="55"/>
      <c r="PRU29" s="55"/>
      <c r="PRW29" s="55"/>
      <c r="PRY29" s="55"/>
      <c r="PSA29" s="55"/>
      <c r="PSC29" s="55"/>
      <c r="PSE29" s="55"/>
      <c r="PSG29" s="55"/>
      <c r="PSI29" s="55"/>
      <c r="PSK29" s="55"/>
      <c r="PSM29" s="55"/>
      <c r="PSO29" s="55"/>
      <c r="PSQ29" s="55"/>
      <c r="PSS29" s="55"/>
      <c r="PSU29" s="55"/>
      <c r="PSW29" s="55"/>
      <c r="PSY29" s="55"/>
      <c r="PTA29" s="55"/>
      <c r="PTC29" s="55"/>
      <c r="PTE29" s="55"/>
      <c r="PTG29" s="55"/>
      <c r="PTI29" s="55"/>
      <c r="PTK29" s="55"/>
      <c r="PTM29" s="55"/>
      <c r="PTO29" s="55"/>
      <c r="PTQ29" s="55"/>
      <c r="PTS29" s="55"/>
      <c r="PTU29" s="55"/>
      <c r="PTW29" s="55"/>
      <c r="PTY29" s="55"/>
      <c r="PUA29" s="55"/>
      <c r="PUC29" s="55"/>
      <c r="PUE29" s="55"/>
      <c r="PUG29" s="55"/>
      <c r="PUI29" s="55"/>
      <c r="PUK29" s="55"/>
      <c r="PUM29" s="55"/>
      <c r="PUO29" s="55"/>
      <c r="PUQ29" s="55"/>
      <c r="PUS29" s="55"/>
      <c r="PUU29" s="55"/>
      <c r="PUW29" s="55"/>
      <c r="PUY29" s="55"/>
      <c r="PVA29" s="55"/>
      <c r="PVC29" s="55"/>
      <c r="PVE29" s="55"/>
      <c r="PVG29" s="55"/>
      <c r="PVI29" s="55"/>
      <c r="PVK29" s="55"/>
      <c r="PVM29" s="55"/>
      <c r="PVO29" s="55"/>
      <c r="PVQ29" s="55"/>
      <c r="PVS29" s="55"/>
      <c r="PVU29" s="55"/>
      <c r="PVW29" s="55"/>
      <c r="PVY29" s="55"/>
      <c r="PWA29" s="55"/>
      <c r="PWC29" s="55"/>
      <c r="PWE29" s="55"/>
      <c r="PWG29" s="55"/>
      <c r="PWI29" s="55"/>
      <c r="PWK29" s="55"/>
      <c r="PWM29" s="55"/>
      <c r="PWO29" s="55"/>
      <c r="PWQ29" s="55"/>
      <c r="PWS29" s="55"/>
      <c r="PWU29" s="55"/>
      <c r="PWW29" s="55"/>
      <c r="PWY29" s="55"/>
      <c r="PXA29" s="55"/>
      <c r="PXC29" s="55"/>
      <c r="PXE29" s="55"/>
      <c r="PXG29" s="55"/>
      <c r="PXI29" s="55"/>
      <c r="PXK29" s="55"/>
      <c r="PXM29" s="55"/>
      <c r="PXO29" s="55"/>
      <c r="PXQ29" s="55"/>
      <c r="PXS29" s="55"/>
      <c r="PXU29" s="55"/>
      <c r="PXW29" s="55"/>
      <c r="PXY29" s="55"/>
      <c r="PYA29" s="55"/>
      <c r="PYC29" s="55"/>
      <c r="PYE29" s="55"/>
      <c r="PYG29" s="55"/>
      <c r="PYI29" s="55"/>
      <c r="PYK29" s="55"/>
      <c r="PYM29" s="55"/>
      <c r="PYO29" s="55"/>
      <c r="PYQ29" s="55"/>
      <c r="PYS29" s="55"/>
      <c r="PYU29" s="55"/>
      <c r="PYW29" s="55"/>
      <c r="PYY29" s="55"/>
      <c r="PZA29" s="55"/>
      <c r="PZC29" s="55"/>
      <c r="PZE29" s="55"/>
      <c r="PZG29" s="55"/>
      <c r="PZI29" s="55"/>
      <c r="PZK29" s="55"/>
      <c r="PZM29" s="55"/>
      <c r="PZO29" s="55"/>
      <c r="PZQ29" s="55"/>
      <c r="PZS29" s="55"/>
      <c r="PZU29" s="55"/>
      <c r="PZW29" s="55"/>
      <c r="PZY29" s="55"/>
      <c r="QAA29" s="55"/>
      <c r="QAC29" s="55"/>
      <c r="QAE29" s="55"/>
      <c r="QAG29" s="55"/>
      <c r="QAI29" s="55"/>
      <c r="QAK29" s="55"/>
      <c r="QAM29" s="55"/>
      <c r="QAO29" s="55"/>
      <c r="QAQ29" s="55"/>
      <c r="QAS29" s="55"/>
      <c r="QAU29" s="55"/>
      <c r="QAW29" s="55"/>
      <c r="QAY29" s="55"/>
      <c r="QBA29" s="55"/>
      <c r="QBC29" s="55"/>
      <c r="QBE29" s="55"/>
      <c r="QBG29" s="55"/>
      <c r="QBI29" s="55"/>
      <c r="QBK29" s="55"/>
      <c r="QBM29" s="55"/>
      <c r="QBO29" s="55"/>
      <c r="QBQ29" s="55"/>
      <c r="QBS29" s="55"/>
      <c r="QBU29" s="55"/>
      <c r="QBW29" s="55"/>
      <c r="QBY29" s="55"/>
      <c r="QCA29" s="55"/>
      <c r="QCC29" s="55"/>
      <c r="QCE29" s="55"/>
      <c r="QCG29" s="55"/>
      <c r="QCI29" s="55"/>
      <c r="QCK29" s="55"/>
      <c r="QCM29" s="55"/>
      <c r="QCO29" s="55"/>
      <c r="QCQ29" s="55"/>
      <c r="QCS29" s="55"/>
      <c r="QCU29" s="55"/>
      <c r="QCW29" s="55"/>
      <c r="QCY29" s="55"/>
      <c r="QDA29" s="55"/>
      <c r="QDC29" s="55"/>
      <c r="QDE29" s="55"/>
      <c r="QDG29" s="55"/>
      <c r="QDI29" s="55"/>
      <c r="QDK29" s="55"/>
      <c r="QDM29" s="55"/>
      <c r="QDO29" s="55"/>
      <c r="QDQ29" s="55"/>
      <c r="QDS29" s="55"/>
      <c r="QDU29" s="55"/>
      <c r="QDW29" s="55"/>
      <c r="QDY29" s="55"/>
      <c r="QEA29" s="55"/>
      <c r="QEC29" s="55"/>
      <c r="QEE29" s="55"/>
      <c r="QEG29" s="55"/>
      <c r="QEI29" s="55"/>
      <c r="QEK29" s="55"/>
      <c r="QEM29" s="55"/>
      <c r="QEO29" s="55"/>
      <c r="QEQ29" s="55"/>
      <c r="QES29" s="55"/>
      <c r="QEU29" s="55"/>
      <c r="QEW29" s="55"/>
      <c r="QEY29" s="55"/>
      <c r="QFA29" s="55"/>
      <c r="QFC29" s="55"/>
      <c r="QFE29" s="55"/>
      <c r="QFG29" s="55"/>
      <c r="QFI29" s="55"/>
      <c r="QFK29" s="55"/>
      <c r="QFM29" s="55"/>
      <c r="QFO29" s="55"/>
      <c r="QFQ29" s="55"/>
      <c r="QFS29" s="55"/>
      <c r="QFU29" s="55"/>
      <c r="QFW29" s="55"/>
      <c r="QFY29" s="55"/>
      <c r="QGA29" s="55"/>
      <c r="QGC29" s="55"/>
      <c r="QGE29" s="55"/>
      <c r="QGG29" s="55"/>
      <c r="QGI29" s="55"/>
      <c r="QGK29" s="55"/>
      <c r="QGM29" s="55"/>
      <c r="QGO29" s="55"/>
      <c r="QGQ29" s="55"/>
      <c r="QGS29" s="55"/>
      <c r="QGU29" s="55"/>
      <c r="QGW29" s="55"/>
      <c r="QGY29" s="55"/>
      <c r="QHA29" s="55"/>
      <c r="QHC29" s="55"/>
      <c r="QHE29" s="55"/>
      <c r="QHG29" s="55"/>
      <c r="QHI29" s="55"/>
      <c r="QHK29" s="55"/>
      <c r="QHM29" s="55"/>
      <c r="QHO29" s="55"/>
      <c r="QHQ29" s="55"/>
      <c r="QHS29" s="55"/>
      <c r="QHU29" s="55"/>
      <c r="QHW29" s="55"/>
      <c r="QHY29" s="55"/>
      <c r="QIA29" s="55"/>
      <c r="QIC29" s="55"/>
      <c r="QIE29" s="55"/>
      <c r="QIG29" s="55"/>
      <c r="QII29" s="55"/>
      <c r="QIK29" s="55"/>
      <c r="QIM29" s="55"/>
      <c r="QIO29" s="55"/>
      <c r="QIQ29" s="55"/>
      <c r="QIS29" s="55"/>
      <c r="QIU29" s="55"/>
      <c r="QIW29" s="55"/>
      <c r="QIY29" s="55"/>
      <c r="QJA29" s="55"/>
      <c r="QJC29" s="55"/>
      <c r="QJE29" s="55"/>
      <c r="QJG29" s="55"/>
      <c r="QJI29" s="55"/>
      <c r="QJK29" s="55"/>
      <c r="QJM29" s="55"/>
      <c r="QJO29" s="55"/>
      <c r="QJQ29" s="55"/>
      <c r="QJS29" s="55"/>
      <c r="QJU29" s="55"/>
      <c r="QJW29" s="55"/>
      <c r="QJY29" s="55"/>
      <c r="QKA29" s="55"/>
      <c r="QKC29" s="55"/>
      <c r="QKE29" s="55"/>
      <c r="QKG29" s="55"/>
      <c r="QKI29" s="55"/>
      <c r="QKK29" s="55"/>
      <c r="QKM29" s="55"/>
      <c r="QKO29" s="55"/>
      <c r="QKQ29" s="55"/>
      <c r="QKS29" s="55"/>
      <c r="QKU29" s="55"/>
      <c r="QKW29" s="55"/>
      <c r="QKY29" s="55"/>
      <c r="QLA29" s="55"/>
      <c r="QLC29" s="55"/>
      <c r="QLE29" s="55"/>
      <c r="QLG29" s="55"/>
      <c r="QLI29" s="55"/>
      <c r="QLK29" s="55"/>
      <c r="QLM29" s="55"/>
      <c r="QLO29" s="55"/>
      <c r="QLQ29" s="55"/>
      <c r="QLS29" s="55"/>
      <c r="QLU29" s="55"/>
      <c r="QLW29" s="55"/>
      <c r="QLY29" s="55"/>
      <c r="QMA29" s="55"/>
      <c r="QMC29" s="55"/>
      <c r="QME29" s="55"/>
      <c r="QMG29" s="55"/>
      <c r="QMI29" s="55"/>
      <c r="QMK29" s="55"/>
      <c r="QMM29" s="55"/>
      <c r="QMO29" s="55"/>
      <c r="QMQ29" s="55"/>
      <c r="QMS29" s="55"/>
      <c r="QMU29" s="55"/>
      <c r="QMW29" s="55"/>
      <c r="QMY29" s="55"/>
      <c r="QNA29" s="55"/>
      <c r="QNC29" s="55"/>
      <c r="QNE29" s="55"/>
      <c r="QNG29" s="55"/>
      <c r="QNI29" s="55"/>
      <c r="QNK29" s="55"/>
      <c r="QNM29" s="55"/>
      <c r="QNO29" s="55"/>
      <c r="QNQ29" s="55"/>
      <c r="QNS29" s="55"/>
      <c r="QNU29" s="55"/>
      <c r="QNW29" s="55"/>
      <c r="QNY29" s="55"/>
      <c r="QOA29" s="55"/>
      <c r="QOC29" s="55"/>
      <c r="QOE29" s="55"/>
      <c r="QOG29" s="55"/>
      <c r="QOI29" s="55"/>
      <c r="QOK29" s="55"/>
      <c r="QOM29" s="55"/>
      <c r="QOO29" s="55"/>
      <c r="QOQ29" s="55"/>
      <c r="QOS29" s="55"/>
      <c r="QOU29" s="55"/>
      <c r="QOW29" s="55"/>
      <c r="QOY29" s="55"/>
      <c r="QPA29" s="55"/>
      <c r="QPC29" s="55"/>
      <c r="QPE29" s="55"/>
      <c r="QPG29" s="55"/>
      <c r="QPI29" s="55"/>
      <c r="QPK29" s="55"/>
      <c r="QPM29" s="55"/>
      <c r="QPO29" s="55"/>
      <c r="QPQ29" s="55"/>
      <c r="QPS29" s="55"/>
      <c r="QPU29" s="55"/>
      <c r="QPW29" s="55"/>
      <c r="QPY29" s="55"/>
      <c r="QQA29" s="55"/>
      <c r="QQC29" s="55"/>
      <c r="QQE29" s="55"/>
      <c r="QQG29" s="55"/>
      <c r="QQI29" s="55"/>
      <c r="QQK29" s="55"/>
      <c r="QQM29" s="55"/>
      <c r="QQO29" s="55"/>
      <c r="QQQ29" s="55"/>
      <c r="QQS29" s="55"/>
      <c r="QQU29" s="55"/>
      <c r="QQW29" s="55"/>
      <c r="QQY29" s="55"/>
      <c r="QRA29" s="55"/>
      <c r="QRC29" s="55"/>
      <c r="QRE29" s="55"/>
      <c r="QRG29" s="55"/>
      <c r="QRI29" s="55"/>
      <c r="QRK29" s="55"/>
      <c r="QRM29" s="55"/>
      <c r="QRO29" s="55"/>
      <c r="QRQ29" s="55"/>
      <c r="QRS29" s="55"/>
      <c r="QRU29" s="55"/>
      <c r="QRW29" s="55"/>
      <c r="QRY29" s="55"/>
      <c r="QSA29" s="55"/>
      <c r="QSC29" s="55"/>
      <c r="QSE29" s="55"/>
      <c r="QSG29" s="55"/>
      <c r="QSI29" s="55"/>
      <c r="QSK29" s="55"/>
      <c r="QSM29" s="55"/>
      <c r="QSO29" s="55"/>
      <c r="QSQ29" s="55"/>
      <c r="QSS29" s="55"/>
      <c r="QSU29" s="55"/>
      <c r="QSW29" s="55"/>
      <c r="QSY29" s="55"/>
      <c r="QTA29" s="55"/>
      <c r="QTC29" s="55"/>
      <c r="QTE29" s="55"/>
      <c r="QTG29" s="55"/>
      <c r="QTI29" s="55"/>
      <c r="QTK29" s="55"/>
      <c r="QTM29" s="55"/>
      <c r="QTO29" s="55"/>
      <c r="QTQ29" s="55"/>
      <c r="QTS29" s="55"/>
      <c r="QTU29" s="55"/>
      <c r="QTW29" s="55"/>
      <c r="QTY29" s="55"/>
      <c r="QUA29" s="55"/>
      <c r="QUC29" s="55"/>
      <c r="QUE29" s="55"/>
      <c r="QUG29" s="55"/>
      <c r="QUI29" s="55"/>
      <c r="QUK29" s="55"/>
      <c r="QUM29" s="55"/>
      <c r="QUO29" s="55"/>
      <c r="QUQ29" s="55"/>
      <c r="QUS29" s="55"/>
      <c r="QUU29" s="55"/>
      <c r="QUW29" s="55"/>
      <c r="QUY29" s="55"/>
      <c r="QVA29" s="55"/>
      <c r="QVC29" s="55"/>
      <c r="QVE29" s="55"/>
      <c r="QVG29" s="55"/>
      <c r="QVI29" s="55"/>
      <c r="QVK29" s="55"/>
      <c r="QVM29" s="55"/>
      <c r="QVO29" s="55"/>
      <c r="QVQ29" s="55"/>
      <c r="QVS29" s="55"/>
      <c r="QVU29" s="55"/>
      <c r="QVW29" s="55"/>
      <c r="QVY29" s="55"/>
      <c r="QWA29" s="55"/>
      <c r="QWC29" s="55"/>
      <c r="QWE29" s="55"/>
      <c r="QWG29" s="55"/>
      <c r="QWI29" s="55"/>
      <c r="QWK29" s="55"/>
      <c r="QWM29" s="55"/>
      <c r="QWO29" s="55"/>
      <c r="QWQ29" s="55"/>
      <c r="QWS29" s="55"/>
      <c r="QWU29" s="55"/>
      <c r="QWW29" s="55"/>
      <c r="QWY29" s="55"/>
      <c r="QXA29" s="55"/>
      <c r="QXC29" s="55"/>
      <c r="QXE29" s="55"/>
      <c r="QXG29" s="55"/>
      <c r="QXI29" s="55"/>
      <c r="QXK29" s="55"/>
      <c r="QXM29" s="55"/>
      <c r="QXO29" s="55"/>
      <c r="QXQ29" s="55"/>
      <c r="QXS29" s="55"/>
      <c r="QXU29" s="55"/>
      <c r="QXW29" s="55"/>
      <c r="QXY29" s="55"/>
      <c r="QYA29" s="55"/>
      <c r="QYC29" s="55"/>
      <c r="QYE29" s="55"/>
      <c r="QYG29" s="55"/>
      <c r="QYI29" s="55"/>
      <c r="QYK29" s="55"/>
      <c r="QYM29" s="55"/>
      <c r="QYO29" s="55"/>
      <c r="QYQ29" s="55"/>
      <c r="QYS29" s="55"/>
      <c r="QYU29" s="55"/>
      <c r="QYW29" s="55"/>
      <c r="QYY29" s="55"/>
      <c r="QZA29" s="55"/>
      <c r="QZC29" s="55"/>
      <c r="QZE29" s="55"/>
      <c r="QZG29" s="55"/>
      <c r="QZI29" s="55"/>
      <c r="QZK29" s="55"/>
      <c r="QZM29" s="55"/>
      <c r="QZO29" s="55"/>
      <c r="QZQ29" s="55"/>
      <c r="QZS29" s="55"/>
      <c r="QZU29" s="55"/>
      <c r="QZW29" s="55"/>
      <c r="QZY29" s="55"/>
      <c r="RAA29" s="55"/>
      <c r="RAC29" s="55"/>
      <c r="RAE29" s="55"/>
      <c r="RAG29" s="55"/>
      <c r="RAI29" s="55"/>
      <c r="RAK29" s="55"/>
      <c r="RAM29" s="55"/>
      <c r="RAO29" s="55"/>
      <c r="RAQ29" s="55"/>
      <c r="RAS29" s="55"/>
      <c r="RAU29" s="55"/>
      <c r="RAW29" s="55"/>
      <c r="RAY29" s="55"/>
      <c r="RBA29" s="55"/>
      <c r="RBC29" s="55"/>
      <c r="RBE29" s="55"/>
      <c r="RBG29" s="55"/>
      <c r="RBI29" s="55"/>
      <c r="RBK29" s="55"/>
      <c r="RBM29" s="55"/>
      <c r="RBO29" s="55"/>
      <c r="RBQ29" s="55"/>
      <c r="RBS29" s="55"/>
      <c r="RBU29" s="55"/>
      <c r="RBW29" s="55"/>
      <c r="RBY29" s="55"/>
      <c r="RCA29" s="55"/>
      <c r="RCC29" s="55"/>
      <c r="RCE29" s="55"/>
      <c r="RCG29" s="55"/>
      <c r="RCI29" s="55"/>
      <c r="RCK29" s="55"/>
      <c r="RCM29" s="55"/>
      <c r="RCO29" s="55"/>
      <c r="RCQ29" s="55"/>
      <c r="RCS29" s="55"/>
      <c r="RCU29" s="55"/>
      <c r="RCW29" s="55"/>
      <c r="RCY29" s="55"/>
      <c r="RDA29" s="55"/>
      <c r="RDC29" s="55"/>
      <c r="RDE29" s="55"/>
      <c r="RDG29" s="55"/>
      <c r="RDI29" s="55"/>
      <c r="RDK29" s="55"/>
      <c r="RDM29" s="55"/>
      <c r="RDO29" s="55"/>
      <c r="RDQ29" s="55"/>
      <c r="RDS29" s="55"/>
      <c r="RDU29" s="55"/>
      <c r="RDW29" s="55"/>
      <c r="RDY29" s="55"/>
      <c r="REA29" s="55"/>
      <c r="REC29" s="55"/>
      <c r="REE29" s="55"/>
      <c r="REG29" s="55"/>
      <c r="REI29" s="55"/>
      <c r="REK29" s="55"/>
      <c r="REM29" s="55"/>
      <c r="REO29" s="55"/>
      <c r="REQ29" s="55"/>
      <c r="RES29" s="55"/>
      <c r="REU29" s="55"/>
      <c r="REW29" s="55"/>
      <c r="REY29" s="55"/>
      <c r="RFA29" s="55"/>
      <c r="RFC29" s="55"/>
      <c r="RFE29" s="55"/>
      <c r="RFG29" s="55"/>
      <c r="RFI29" s="55"/>
      <c r="RFK29" s="55"/>
      <c r="RFM29" s="55"/>
      <c r="RFO29" s="55"/>
      <c r="RFQ29" s="55"/>
      <c r="RFS29" s="55"/>
      <c r="RFU29" s="55"/>
      <c r="RFW29" s="55"/>
      <c r="RFY29" s="55"/>
      <c r="RGA29" s="55"/>
      <c r="RGC29" s="55"/>
      <c r="RGE29" s="55"/>
      <c r="RGG29" s="55"/>
      <c r="RGI29" s="55"/>
      <c r="RGK29" s="55"/>
      <c r="RGM29" s="55"/>
      <c r="RGO29" s="55"/>
      <c r="RGQ29" s="55"/>
      <c r="RGS29" s="55"/>
      <c r="RGU29" s="55"/>
      <c r="RGW29" s="55"/>
      <c r="RGY29" s="55"/>
      <c r="RHA29" s="55"/>
      <c r="RHC29" s="55"/>
      <c r="RHE29" s="55"/>
      <c r="RHG29" s="55"/>
      <c r="RHI29" s="55"/>
      <c r="RHK29" s="55"/>
      <c r="RHM29" s="55"/>
      <c r="RHO29" s="55"/>
      <c r="RHQ29" s="55"/>
      <c r="RHS29" s="55"/>
      <c r="RHU29" s="55"/>
      <c r="RHW29" s="55"/>
      <c r="RHY29" s="55"/>
      <c r="RIA29" s="55"/>
      <c r="RIC29" s="55"/>
      <c r="RIE29" s="55"/>
      <c r="RIG29" s="55"/>
      <c r="RII29" s="55"/>
      <c r="RIK29" s="55"/>
      <c r="RIM29" s="55"/>
      <c r="RIO29" s="55"/>
      <c r="RIQ29" s="55"/>
      <c r="RIS29" s="55"/>
      <c r="RIU29" s="55"/>
      <c r="RIW29" s="55"/>
      <c r="RIY29" s="55"/>
      <c r="RJA29" s="55"/>
      <c r="RJC29" s="55"/>
      <c r="RJE29" s="55"/>
      <c r="RJG29" s="55"/>
      <c r="RJI29" s="55"/>
      <c r="RJK29" s="55"/>
      <c r="RJM29" s="55"/>
      <c r="RJO29" s="55"/>
      <c r="RJQ29" s="55"/>
      <c r="RJS29" s="55"/>
      <c r="RJU29" s="55"/>
      <c r="RJW29" s="55"/>
      <c r="RJY29" s="55"/>
      <c r="RKA29" s="55"/>
      <c r="RKC29" s="55"/>
      <c r="RKE29" s="55"/>
      <c r="RKG29" s="55"/>
      <c r="RKI29" s="55"/>
      <c r="RKK29" s="55"/>
      <c r="RKM29" s="55"/>
      <c r="RKO29" s="55"/>
      <c r="RKQ29" s="55"/>
      <c r="RKS29" s="55"/>
      <c r="RKU29" s="55"/>
      <c r="RKW29" s="55"/>
      <c r="RKY29" s="55"/>
      <c r="RLA29" s="55"/>
      <c r="RLC29" s="55"/>
      <c r="RLE29" s="55"/>
      <c r="RLG29" s="55"/>
      <c r="RLI29" s="55"/>
      <c r="RLK29" s="55"/>
      <c r="RLM29" s="55"/>
      <c r="RLO29" s="55"/>
      <c r="RLQ29" s="55"/>
      <c r="RLS29" s="55"/>
      <c r="RLU29" s="55"/>
      <c r="RLW29" s="55"/>
      <c r="RLY29" s="55"/>
      <c r="RMA29" s="55"/>
      <c r="RMC29" s="55"/>
      <c r="RME29" s="55"/>
      <c r="RMG29" s="55"/>
      <c r="RMI29" s="55"/>
      <c r="RMK29" s="55"/>
      <c r="RMM29" s="55"/>
      <c r="RMO29" s="55"/>
      <c r="RMQ29" s="55"/>
      <c r="RMS29" s="55"/>
      <c r="RMU29" s="55"/>
      <c r="RMW29" s="55"/>
      <c r="RMY29" s="55"/>
      <c r="RNA29" s="55"/>
      <c r="RNC29" s="55"/>
      <c r="RNE29" s="55"/>
      <c r="RNG29" s="55"/>
      <c r="RNI29" s="55"/>
      <c r="RNK29" s="55"/>
      <c r="RNM29" s="55"/>
      <c r="RNO29" s="55"/>
      <c r="RNQ29" s="55"/>
      <c r="RNS29" s="55"/>
      <c r="RNU29" s="55"/>
      <c r="RNW29" s="55"/>
      <c r="RNY29" s="55"/>
      <c r="ROA29" s="55"/>
      <c r="ROC29" s="55"/>
      <c r="ROE29" s="55"/>
      <c r="ROG29" s="55"/>
      <c r="ROI29" s="55"/>
      <c r="ROK29" s="55"/>
      <c r="ROM29" s="55"/>
      <c r="ROO29" s="55"/>
      <c r="ROQ29" s="55"/>
      <c r="ROS29" s="55"/>
      <c r="ROU29" s="55"/>
      <c r="ROW29" s="55"/>
      <c r="ROY29" s="55"/>
      <c r="RPA29" s="55"/>
      <c r="RPC29" s="55"/>
      <c r="RPE29" s="55"/>
      <c r="RPG29" s="55"/>
      <c r="RPI29" s="55"/>
      <c r="RPK29" s="55"/>
      <c r="RPM29" s="55"/>
      <c r="RPO29" s="55"/>
      <c r="RPQ29" s="55"/>
      <c r="RPS29" s="55"/>
      <c r="RPU29" s="55"/>
      <c r="RPW29" s="55"/>
      <c r="RPY29" s="55"/>
      <c r="RQA29" s="55"/>
      <c r="RQC29" s="55"/>
      <c r="RQE29" s="55"/>
      <c r="RQG29" s="55"/>
      <c r="RQI29" s="55"/>
      <c r="RQK29" s="55"/>
      <c r="RQM29" s="55"/>
      <c r="RQO29" s="55"/>
      <c r="RQQ29" s="55"/>
      <c r="RQS29" s="55"/>
      <c r="RQU29" s="55"/>
      <c r="RQW29" s="55"/>
      <c r="RQY29" s="55"/>
      <c r="RRA29" s="55"/>
      <c r="RRC29" s="55"/>
      <c r="RRE29" s="55"/>
      <c r="RRG29" s="55"/>
      <c r="RRI29" s="55"/>
      <c r="RRK29" s="55"/>
      <c r="RRM29" s="55"/>
      <c r="RRO29" s="55"/>
      <c r="RRQ29" s="55"/>
      <c r="RRS29" s="55"/>
      <c r="RRU29" s="55"/>
      <c r="RRW29" s="55"/>
      <c r="RRY29" s="55"/>
      <c r="RSA29" s="55"/>
      <c r="RSC29" s="55"/>
      <c r="RSE29" s="55"/>
      <c r="RSG29" s="55"/>
      <c r="RSI29" s="55"/>
      <c r="RSK29" s="55"/>
      <c r="RSM29" s="55"/>
      <c r="RSO29" s="55"/>
      <c r="RSQ29" s="55"/>
      <c r="RSS29" s="55"/>
      <c r="RSU29" s="55"/>
      <c r="RSW29" s="55"/>
      <c r="RSY29" s="55"/>
      <c r="RTA29" s="55"/>
      <c r="RTC29" s="55"/>
      <c r="RTE29" s="55"/>
      <c r="RTG29" s="55"/>
      <c r="RTI29" s="55"/>
      <c r="RTK29" s="55"/>
      <c r="RTM29" s="55"/>
      <c r="RTO29" s="55"/>
      <c r="RTQ29" s="55"/>
      <c r="RTS29" s="55"/>
      <c r="RTU29" s="55"/>
      <c r="RTW29" s="55"/>
      <c r="RTY29" s="55"/>
      <c r="RUA29" s="55"/>
      <c r="RUC29" s="55"/>
      <c r="RUE29" s="55"/>
      <c r="RUG29" s="55"/>
      <c r="RUI29" s="55"/>
      <c r="RUK29" s="55"/>
      <c r="RUM29" s="55"/>
      <c r="RUO29" s="55"/>
      <c r="RUQ29" s="55"/>
      <c r="RUS29" s="55"/>
      <c r="RUU29" s="55"/>
      <c r="RUW29" s="55"/>
      <c r="RUY29" s="55"/>
      <c r="RVA29" s="55"/>
      <c r="RVC29" s="55"/>
      <c r="RVE29" s="55"/>
      <c r="RVG29" s="55"/>
      <c r="RVI29" s="55"/>
      <c r="RVK29" s="55"/>
      <c r="RVM29" s="55"/>
      <c r="RVO29" s="55"/>
      <c r="RVQ29" s="55"/>
      <c r="RVS29" s="55"/>
      <c r="RVU29" s="55"/>
      <c r="RVW29" s="55"/>
      <c r="RVY29" s="55"/>
      <c r="RWA29" s="55"/>
      <c r="RWC29" s="55"/>
      <c r="RWE29" s="55"/>
      <c r="RWG29" s="55"/>
      <c r="RWI29" s="55"/>
      <c r="RWK29" s="55"/>
      <c r="RWM29" s="55"/>
      <c r="RWO29" s="55"/>
      <c r="RWQ29" s="55"/>
      <c r="RWS29" s="55"/>
      <c r="RWU29" s="55"/>
      <c r="RWW29" s="55"/>
      <c r="RWY29" s="55"/>
      <c r="RXA29" s="55"/>
      <c r="RXC29" s="55"/>
      <c r="RXE29" s="55"/>
      <c r="RXG29" s="55"/>
      <c r="RXI29" s="55"/>
      <c r="RXK29" s="55"/>
      <c r="RXM29" s="55"/>
      <c r="RXO29" s="55"/>
      <c r="RXQ29" s="55"/>
      <c r="RXS29" s="55"/>
      <c r="RXU29" s="55"/>
      <c r="RXW29" s="55"/>
      <c r="RXY29" s="55"/>
      <c r="RYA29" s="55"/>
      <c r="RYC29" s="55"/>
      <c r="RYE29" s="55"/>
      <c r="RYG29" s="55"/>
      <c r="RYI29" s="55"/>
      <c r="RYK29" s="55"/>
      <c r="RYM29" s="55"/>
      <c r="RYO29" s="55"/>
      <c r="RYQ29" s="55"/>
      <c r="RYS29" s="55"/>
      <c r="RYU29" s="55"/>
      <c r="RYW29" s="55"/>
      <c r="RYY29" s="55"/>
      <c r="RZA29" s="55"/>
      <c r="RZC29" s="55"/>
      <c r="RZE29" s="55"/>
      <c r="RZG29" s="55"/>
      <c r="RZI29" s="55"/>
      <c r="RZK29" s="55"/>
      <c r="RZM29" s="55"/>
      <c r="RZO29" s="55"/>
      <c r="RZQ29" s="55"/>
      <c r="RZS29" s="55"/>
      <c r="RZU29" s="55"/>
      <c r="RZW29" s="55"/>
      <c r="RZY29" s="55"/>
      <c r="SAA29" s="55"/>
      <c r="SAC29" s="55"/>
      <c r="SAE29" s="55"/>
      <c r="SAG29" s="55"/>
      <c r="SAI29" s="55"/>
      <c r="SAK29" s="55"/>
      <c r="SAM29" s="55"/>
      <c r="SAO29" s="55"/>
      <c r="SAQ29" s="55"/>
      <c r="SAS29" s="55"/>
      <c r="SAU29" s="55"/>
      <c r="SAW29" s="55"/>
      <c r="SAY29" s="55"/>
      <c r="SBA29" s="55"/>
      <c r="SBC29" s="55"/>
      <c r="SBE29" s="55"/>
      <c r="SBG29" s="55"/>
      <c r="SBI29" s="55"/>
      <c r="SBK29" s="55"/>
      <c r="SBM29" s="55"/>
      <c r="SBO29" s="55"/>
      <c r="SBQ29" s="55"/>
      <c r="SBS29" s="55"/>
      <c r="SBU29" s="55"/>
      <c r="SBW29" s="55"/>
      <c r="SBY29" s="55"/>
      <c r="SCA29" s="55"/>
      <c r="SCC29" s="55"/>
      <c r="SCE29" s="55"/>
      <c r="SCG29" s="55"/>
      <c r="SCI29" s="55"/>
      <c r="SCK29" s="55"/>
      <c r="SCM29" s="55"/>
      <c r="SCO29" s="55"/>
      <c r="SCQ29" s="55"/>
      <c r="SCS29" s="55"/>
      <c r="SCU29" s="55"/>
      <c r="SCW29" s="55"/>
      <c r="SCY29" s="55"/>
      <c r="SDA29" s="55"/>
      <c r="SDC29" s="55"/>
      <c r="SDE29" s="55"/>
      <c r="SDG29" s="55"/>
      <c r="SDI29" s="55"/>
      <c r="SDK29" s="55"/>
      <c r="SDM29" s="55"/>
      <c r="SDO29" s="55"/>
      <c r="SDQ29" s="55"/>
      <c r="SDS29" s="55"/>
      <c r="SDU29" s="55"/>
      <c r="SDW29" s="55"/>
      <c r="SDY29" s="55"/>
      <c r="SEA29" s="55"/>
      <c r="SEC29" s="55"/>
      <c r="SEE29" s="55"/>
      <c r="SEG29" s="55"/>
      <c r="SEI29" s="55"/>
      <c r="SEK29" s="55"/>
      <c r="SEM29" s="55"/>
      <c r="SEO29" s="55"/>
      <c r="SEQ29" s="55"/>
      <c r="SES29" s="55"/>
      <c r="SEU29" s="55"/>
      <c r="SEW29" s="55"/>
      <c r="SEY29" s="55"/>
      <c r="SFA29" s="55"/>
      <c r="SFC29" s="55"/>
      <c r="SFE29" s="55"/>
      <c r="SFG29" s="55"/>
      <c r="SFI29" s="55"/>
      <c r="SFK29" s="55"/>
      <c r="SFM29" s="55"/>
      <c r="SFO29" s="55"/>
      <c r="SFQ29" s="55"/>
      <c r="SFS29" s="55"/>
      <c r="SFU29" s="55"/>
      <c r="SFW29" s="55"/>
      <c r="SFY29" s="55"/>
      <c r="SGA29" s="55"/>
      <c r="SGC29" s="55"/>
      <c r="SGE29" s="55"/>
      <c r="SGG29" s="55"/>
      <c r="SGI29" s="55"/>
      <c r="SGK29" s="55"/>
      <c r="SGM29" s="55"/>
      <c r="SGO29" s="55"/>
      <c r="SGQ29" s="55"/>
      <c r="SGS29" s="55"/>
      <c r="SGU29" s="55"/>
      <c r="SGW29" s="55"/>
      <c r="SGY29" s="55"/>
      <c r="SHA29" s="55"/>
      <c r="SHC29" s="55"/>
      <c r="SHE29" s="55"/>
      <c r="SHG29" s="55"/>
      <c r="SHI29" s="55"/>
      <c r="SHK29" s="55"/>
      <c r="SHM29" s="55"/>
      <c r="SHO29" s="55"/>
      <c r="SHQ29" s="55"/>
      <c r="SHS29" s="55"/>
      <c r="SHU29" s="55"/>
      <c r="SHW29" s="55"/>
      <c r="SHY29" s="55"/>
      <c r="SIA29" s="55"/>
      <c r="SIC29" s="55"/>
      <c r="SIE29" s="55"/>
      <c r="SIG29" s="55"/>
      <c r="SII29" s="55"/>
      <c r="SIK29" s="55"/>
      <c r="SIM29" s="55"/>
      <c r="SIO29" s="55"/>
      <c r="SIQ29" s="55"/>
      <c r="SIS29" s="55"/>
      <c r="SIU29" s="55"/>
      <c r="SIW29" s="55"/>
      <c r="SIY29" s="55"/>
      <c r="SJA29" s="55"/>
      <c r="SJC29" s="55"/>
      <c r="SJE29" s="55"/>
      <c r="SJG29" s="55"/>
      <c r="SJI29" s="55"/>
      <c r="SJK29" s="55"/>
      <c r="SJM29" s="55"/>
      <c r="SJO29" s="55"/>
      <c r="SJQ29" s="55"/>
      <c r="SJS29" s="55"/>
      <c r="SJU29" s="55"/>
      <c r="SJW29" s="55"/>
      <c r="SJY29" s="55"/>
      <c r="SKA29" s="55"/>
      <c r="SKC29" s="55"/>
      <c r="SKE29" s="55"/>
      <c r="SKG29" s="55"/>
      <c r="SKI29" s="55"/>
      <c r="SKK29" s="55"/>
      <c r="SKM29" s="55"/>
      <c r="SKO29" s="55"/>
      <c r="SKQ29" s="55"/>
      <c r="SKS29" s="55"/>
      <c r="SKU29" s="55"/>
      <c r="SKW29" s="55"/>
      <c r="SKY29" s="55"/>
      <c r="SLA29" s="55"/>
      <c r="SLC29" s="55"/>
      <c r="SLE29" s="55"/>
      <c r="SLG29" s="55"/>
      <c r="SLI29" s="55"/>
      <c r="SLK29" s="55"/>
      <c r="SLM29" s="55"/>
      <c r="SLO29" s="55"/>
      <c r="SLQ29" s="55"/>
      <c r="SLS29" s="55"/>
      <c r="SLU29" s="55"/>
      <c r="SLW29" s="55"/>
      <c r="SLY29" s="55"/>
      <c r="SMA29" s="55"/>
      <c r="SMC29" s="55"/>
      <c r="SME29" s="55"/>
      <c r="SMG29" s="55"/>
      <c r="SMI29" s="55"/>
      <c r="SMK29" s="55"/>
      <c r="SMM29" s="55"/>
      <c r="SMO29" s="55"/>
      <c r="SMQ29" s="55"/>
      <c r="SMS29" s="55"/>
      <c r="SMU29" s="55"/>
      <c r="SMW29" s="55"/>
      <c r="SMY29" s="55"/>
      <c r="SNA29" s="55"/>
      <c r="SNC29" s="55"/>
      <c r="SNE29" s="55"/>
      <c r="SNG29" s="55"/>
      <c r="SNI29" s="55"/>
      <c r="SNK29" s="55"/>
      <c r="SNM29" s="55"/>
      <c r="SNO29" s="55"/>
      <c r="SNQ29" s="55"/>
      <c r="SNS29" s="55"/>
      <c r="SNU29" s="55"/>
      <c r="SNW29" s="55"/>
      <c r="SNY29" s="55"/>
      <c r="SOA29" s="55"/>
      <c r="SOC29" s="55"/>
      <c r="SOE29" s="55"/>
      <c r="SOG29" s="55"/>
      <c r="SOI29" s="55"/>
      <c r="SOK29" s="55"/>
      <c r="SOM29" s="55"/>
      <c r="SOO29" s="55"/>
      <c r="SOQ29" s="55"/>
      <c r="SOS29" s="55"/>
      <c r="SOU29" s="55"/>
      <c r="SOW29" s="55"/>
      <c r="SOY29" s="55"/>
      <c r="SPA29" s="55"/>
      <c r="SPC29" s="55"/>
      <c r="SPE29" s="55"/>
      <c r="SPG29" s="55"/>
      <c r="SPI29" s="55"/>
      <c r="SPK29" s="55"/>
      <c r="SPM29" s="55"/>
      <c r="SPO29" s="55"/>
      <c r="SPQ29" s="55"/>
      <c r="SPS29" s="55"/>
      <c r="SPU29" s="55"/>
      <c r="SPW29" s="55"/>
      <c r="SPY29" s="55"/>
      <c r="SQA29" s="55"/>
      <c r="SQC29" s="55"/>
      <c r="SQE29" s="55"/>
      <c r="SQG29" s="55"/>
      <c r="SQI29" s="55"/>
      <c r="SQK29" s="55"/>
      <c r="SQM29" s="55"/>
      <c r="SQO29" s="55"/>
      <c r="SQQ29" s="55"/>
      <c r="SQS29" s="55"/>
      <c r="SQU29" s="55"/>
      <c r="SQW29" s="55"/>
      <c r="SQY29" s="55"/>
      <c r="SRA29" s="55"/>
      <c r="SRC29" s="55"/>
      <c r="SRE29" s="55"/>
      <c r="SRG29" s="55"/>
      <c r="SRI29" s="55"/>
      <c r="SRK29" s="55"/>
      <c r="SRM29" s="55"/>
      <c r="SRO29" s="55"/>
      <c r="SRQ29" s="55"/>
      <c r="SRS29" s="55"/>
      <c r="SRU29" s="55"/>
      <c r="SRW29" s="55"/>
      <c r="SRY29" s="55"/>
      <c r="SSA29" s="55"/>
      <c r="SSC29" s="55"/>
      <c r="SSE29" s="55"/>
      <c r="SSG29" s="55"/>
      <c r="SSI29" s="55"/>
      <c r="SSK29" s="55"/>
      <c r="SSM29" s="55"/>
      <c r="SSO29" s="55"/>
      <c r="SSQ29" s="55"/>
      <c r="SSS29" s="55"/>
      <c r="SSU29" s="55"/>
      <c r="SSW29" s="55"/>
      <c r="SSY29" s="55"/>
      <c r="STA29" s="55"/>
      <c r="STC29" s="55"/>
      <c r="STE29" s="55"/>
      <c r="STG29" s="55"/>
      <c r="STI29" s="55"/>
      <c r="STK29" s="55"/>
      <c r="STM29" s="55"/>
      <c r="STO29" s="55"/>
      <c r="STQ29" s="55"/>
      <c r="STS29" s="55"/>
      <c r="STU29" s="55"/>
      <c r="STW29" s="55"/>
      <c r="STY29" s="55"/>
      <c r="SUA29" s="55"/>
      <c r="SUC29" s="55"/>
      <c r="SUE29" s="55"/>
      <c r="SUG29" s="55"/>
      <c r="SUI29" s="55"/>
      <c r="SUK29" s="55"/>
      <c r="SUM29" s="55"/>
      <c r="SUO29" s="55"/>
      <c r="SUQ29" s="55"/>
      <c r="SUS29" s="55"/>
      <c r="SUU29" s="55"/>
      <c r="SUW29" s="55"/>
      <c r="SUY29" s="55"/>
      <c r="SVA29" s="55"/>
      <c r="SVC29" s="55"/>
      <c r="SVE29" s="55"/>
      <c r="SVG29" s="55"/>
      <c r="SVI29" s="55"/>
      <c r="SVK29" s="55"/>
      <c r="SVM29" s="55"/>
      <c r="SVO29" s="55"/>
      <c r="SVQ29" s="55"/>
      <c r="SVS29" s="55"/>
      <c r="SVU29" s="55"/>
      <c r="SVW29" s="55"/>
      <c r="SVY29" s="55"/>
      <c r="SWA29" s="55"/>
      <c r="SWC29" s="55"/>
      <c r="SWE29" s="55"/>
      <c r="SWG29" s="55"/>
      <c r="SWI29" s="55"/>
      <c r="SWK29" s="55"/>
      <c r="SWM29" s="55"/>
      <c r="SWO29" s="55"/>
      <c r="SWQ29" s="55"/>
      <c r="SWS29" s="55"/>
      <c r="SWU29" s="55"/>
      <c r="SWW29" s="55"/>
      <c r="SWY29" s="55"/>
      <c r="SXA29" s="55"/>
      <c r="SXC29" s="55"/>
      <c r="SXE29" s="55"/>
      <c r="SXG29" s="55"/>
      <c r="SXI29" s="55"/>
      <c r="SXK29" s="55"/>
      <c r="SXM29" s="55"/>
      <c r="SXO29" s="55"/>
      <c r="SXQ29" s="55"/>
      <c r="SXS29" s="55"/>
      <c r="SXU29" s="55"/>
      <c r="SXW29" s="55"/>
      <c r="SXY29" s="55"/>
      <c r="SYA29" s="55"/>
      <c r="SYC29" s="55"/>
      <c r="SYE29" s="55"/>
      <c r="SYG29" s="55"/>
      <c r="SYI29" s="55"/>
      <c r="SYK29" s="55"/>
      <c r="SYM29" s="55"/>
      <c r="SYO29" s="55"/>
      <c r="SYQ29" s="55"/>
      <c r="SYS29" s="55"/>
      <c r="SYU29" s="55"/>
      <c r="SYW29" s="55"/>
      <c r="SYY29" s="55"/>
      <c r="SZA29" s="55"/>
      <c r="SZC29" s="55"/>
      <c r="SZE29" s="55"/>
      <c r="SZG29" s="55"/>
      <c r="SZI29" s="55"/>
      <c r="SZK29" s="55"/>
      <c r="SZM29" s="55"/>
      <c r="SZO29" s="55"/>
      <c r="SZQ29" s="55"/>
      <c r="SZS29" s="55"/>
      <c r="SZU29" s="55"/>
      <c r="SZW29" s="55"/>
      <c r="SZY29" s="55"/>
      <c r="TAA29" s="55"/>
      <c r="TAC29" s="55"/>
      <c r="TAE29" s="55"/>
      <c r="TAG29" s="55"/>
      <c r="TAI29" s="55"/>
      <c r="TAK29" s="55"/>
      <c r="TAM29" s="55"/>
      <c r="TAO29" s="55"/>
      <c r="TAQ29" s="55"/>
      <c r="TAS29" s="55"/>
      <c r="TAU29" s="55"/>
      <c r="TAW29" s="55"/>
      <c r="TAY29" s="55"/>
      <c r="TBA29" s="55"/>
      <c r="TBC29" s="55"/>
      <c r="TBE29" s="55"/>
      <c r="TBG29" s="55"/>
      <c r="TBI29" s="55"/>
      <c r="TBK29" s="55"/>
      <c r="TBM29" s="55"/>
      <c r="TBO29" s="55"/>
      <c r="TBQ29" s="55"/>
      <c r="TBS29" s="55"/>
      <c r="TBU29" s="55"/>
      <c r="TBW29" s="55"/>
      <c r="TBY29" s="55"/>
      <c r="TCA29" s="55"/>
      <c r="TCC29" s="55"/>
      <c r="TCE29" s="55"/>
      <c r="TCG29" s="55"/>
      <c r="TCI29" s="55"/>
      <c r="TCK29" s="55"/>
      <c r="TCM29" s="55"/>
      <c r="TCO29" s="55"/>
      <c r="TCQ29" s="55"/>
      <c r="TCS29" s="55"/>
      <c r="TCU29" s="55"/>
      <c r="TCW29" s="55"/>
      <c r="TCY29" s="55"/>
      <c r="TDA29" s="55"/>
      <c r="TDC29" s="55"/>
      <c r="TDE29" s="55"/>
      <c r="TDG29" s="55"/>
      <c r="TDI29" s="55"/>
      <c r="TDK29" s="55"/>
      <c r="TDM29" s="55"/>
      <c r="TDO29" s="55"/>
      <c r="TDQ29" s="55"/>
      <c r="TDS29" s="55"/>
      <c r="TDU29" s="55"/>
      <c r="TDW29" s="55"/>
      <c r="TDY29" s="55"/>
      <c r="TEA29" s="55"/>
      <c r="TEC29" s="55"/>
      <c r="TEE29" s="55"/>
      <c r="TEG29" s="55"/>
      <c r="TEI29" s="55"/>
      <c r="TEK29" s="55"/>
      <c r="TEM29" s="55"/>
      <c r="TEO29" s="55"/>
      <c r="TEQ29" s="55"/>
      <c r="TES29" s="55"/>
      <c r="TEU29" s="55"/>
      <c r="TEW29" s="55"/>
      <c r="TEY29" s="55"/>
      <c r="TFA29" s="55"/>
      <c r="TFC29" s="55"/>
      <c r="TFE29" s="55"/>
      <c r="TFG29" s="55"/>
      <c r="TFI29" s="55"/>
      <c r="TFK29" s="55"/>
      <c r="TFM29" s="55"/>
      <c r="TFO29" s="55"/>
      <c r="TFQ29" s="55"/>
      <c r="TFS29" s="55"/>
      <c r="TFU29" s="55"/>
      <c r="TFW29" s="55"/>
      <c r="TFY29" s="55"/>
      <c r="TGA29" s="55"/>
      <c r="TGC29" s="55"/>
      <c r="TGE29" s="55"/>
      <c r="TGG29" s="55"/>
      <c r="TGI29" s="55"/>
      <c r="TGK29" s="55"/>
      <c r="TGM29" s="55"/>
      <c r="TGO29" s="55"/>
      <c r="TGQ29" s="55"/>
      <c r="TGS29" s="55"/>
      <c r="TGU29" s="55"/>
      <c r="TGW29" s="55"/>
      <c r="TGY29" s="55"/>
      <c r="THA29" s="55"/>
      <c r="THC29" s="55"/>
      <c r="THE29" s="55"/>
      <c r="THG29" s="55"/>
      <c r="THI29" s="55"/>
      <c r="THK29" s="55"/>
      <c r="THM29" s="55"/>
      <c r="THO29" s="55"/>
      <c r="THQ29" s="55"/>
      <c r="THS29" s="55"/>
      <c r="THU29" s="55"/>
      <c r="THW29" s="55"/>
      <c r="THY29" s="55"/>
      <c r="TIA29" s="55"/>
      <c r="TIC29" s="55"/>
      <c r="TIE29" s="55"/>
      <c r="TIG29" s="55"/>
      <c r="TII29" s="55"/>
      <c r="TIK29" s="55"/>
      <c r="TIM29" s="55"/>
      <c r="TIO29" s="55"/>
      <c r="TIQ29" s="55"/>
      <c r="TIS29" s="55"/>
      <c r="TIU29" s="55"/>
      <c r="TIW29" s="55"/>
      <c r="TIY29" s="55"/>
      <c r="TJA29" s="55"/>
      <c r="TJC29" s="55"/>
      <c r="TJE29" s="55"/>
      <c r="TJG29" s="55"/>
      <c r="TJI29" s="55"/>
      <c r="TJK29" s="55"/>
      <c r="TJM29" s="55"/>
      <c r="TJO29" s="55"/>
      <c r="TJQ29" s="55"/>
      <c r="TJS29" s="55"/>
      <c r="TJU29" s="55"/>
      <c r="TJW29" s="55"/>
      <c r="TJY29" s="55"/>
      <c r="TKA29" s="55"/>
      <c r="TKC29" s="55"/>
      <c r="TKE29" s="55"/>
      <c r="TKG29" s="55"/>
      <c r="TKI29" s="55"/>
      <c r="TKK29" s="55"/>
      <c r="TKM29" s="55"/>
      <c r="TKO29" s="55"/>
      <c r="TKQ29" s="55"/>
      <c r="TKS29" s="55"/>
      <c r="TKU29" s="55"/>
      <c r="TKW29" s="55"/>
      <c r="TKY29" s="55"/>
      <c r="TLA29" s="55"/>
      <c r="TLC29" s="55"/>
      <c r="TLE29" s="55"/>
      <c r="TLG29" s="55"/>
      <c r="TLI29" s="55"/>
      <c r="TLK29" s="55"/>
      <c r="TLM29" s="55"/>
      <c r="TLO29" s="55"/>
      <c r="TLQ29" s="55"/>
      <c r="TLS29" s="55"/>
      <c r="TLU29" s="55"/>
      <c r="TLW29" s="55"/>
      <c r="TLY29" s="55"/>
      <c r="TMA29" s="55"/>
      <c r="TMC29" s="55"/>
      <c r="TME29" s="55"/>
      <c r="TMG29" s="55"/>
      <c r="TMI29" s="55"/>
      <c r="TMK29" s="55"/>
      <c r="TMM29" s="55"/>
      <c r="TMO29" s="55"/>
      <c r="TMQ29" s="55"/>
      <c r="TMS29" s="55"/>
      <c r="TMU29" s="55"/>
      <c r="TMW29" s="55"/>
      <c r="TMY29" s="55"/>
      <c r="TNA29" s="55"/>
      <c r="TNC29" s="55"/>
      <c r="TNE29" s="55"/>
      <c r="TNG29" s="55"/>
      <c r="TNI29" s="55"/>
      <c r="TNK29" s="55"/>
      <c r="TNM29" s="55"/>
      <c r="TNO29" s="55"/>
      <c r="TNQ29" s="55"/>
      <c r="TNS29" s="55"/>
      <c r="TNU29" s="55"/>
      <c r="TNW29" s="55"/>
      <c r="TNY29" s="55"/>
      <c r="TOA29" s="55"/>
      <c r="TOC29" s="55"/>
      <c r="TOE29" s="55"/>
      <c r="TOG29" s="55"/>
      <c r="TOI29" s="55"/>
      <c r="TOK29" s="55"/>
      <c r="TOM29" s="55"/>
      <c r="TOO29" s="55"/>
      <c r="TOQ29" s="55"/>
      <c r="TOS29" s="55"/>
      <c r="TOU29" s="55"/>
      <c r="TOW29" s="55"/>
      <c r="TOY29" s="55"/>
      <c r="TPA29" s="55"/>
      <c r="TPC29" s="55"/>
      <c r="TPE29" s="55"/>
      <c r="TPG29" s="55"/>
      <c r="TPI29" s="55"/>
      <c r="TPK29" s="55"/>
      <c r="TPM29" s="55"/>
      <c r="TPO29" s="55"/>
      <c r="TPQ29" s="55"/>
      <c r="TPS29" s="55"/>
      <c r="TPU29" s="55"/>
      <c r="TPW29" s="55"/>
      <c r="TPY29" s="55"/>
      <c r="TQA29" s="55"/>
      <c r="TQC29" s="55"/>
      <c r="TQE29" s="55"/>
      <c r="TQG29" s="55"/>
      <c r="TQI29" s="55"/>
      <c r="TQK29" s="55"/>
      <c r="TQM29" s="55"/>
      <c r="TQO29" s="55"/>
      <c r="TQQ29" s="55"/>
      <c r="TQS29" s="55"/>
      <c r="TQU29" s="55"/>
      <c r="TQW29" s="55"/>
      <c r="TQY29" s="55"/>
      <c r="TRA29" s="55"/>
      <c r="TRC29" s="55"/>
      <c r="TRE29" s="55"/>
      <c r="TRG29" s="55"/>
      <c r="TRI29" s="55"/>
      <c r="TRK29" s="55"/>
      <c r="TRM29" s="55"/>
      <c r="TRO29" s="55"/>
      <c r="TRQ29" s="55"/>
      <c r="TRS29" s="55"/>
      <c r="TRU29" s="55"/>
      <c r="TRW29" s="55"/>
      <c r="TRY29" s="55"/>
      <c r="TSA29" s="55"/>
      <c r="TSC29" s="55"/>
      <c r="TSE29" s="55"/>
      <c r="TSG29" s="55"/>
      <c r="TSI29" s="55"/>
      <c r="TSK29" s="55"/>
      <c r="TSM29" s="55"/>
      <c r="TSO29" s="55"/>
      <c r="TSQ29" s="55"/>
      <c r="TSS29" s="55"/>
      <c r="TSU29" s="55"/>
      <c r="TSW29" s="55"/>
      <c r="TSY29" s="55"/>
      <c r="TTA29" s="55"/>
      <c r="TTC29" s="55"/>
      <c r="TTE29" s="55"/>
      <c r="TTG29" s="55"/>
      <c r="TTI29" s="55"/>
      <c r="TTK29" s="55"/>
      <c r="TTM29" s="55"/>
      <c r="TTO29" s="55"/>
      <c r="TTQ29" s="55"/>
      <c r="TTS29" s="55"/>
      <c r="TTU29" s="55"/>
      <c r="TTW29" s="55"/>
      <c r="TTY29" s="55"/>
      <c r="TUA29" s="55"/>
      <c r="TUC29" s="55"/>
      <c r="TUE29" s="55"/>
      <c r="TUG29" s="55"/>
      <c r="TUI29" s="55"/>
      <c r="TUK29" s="55"/>
      <c r="TUM29" s="55"/>
      <c r="TUO29" s="55"/>
      <c r="TUQ29" s="55"/>
      <c r="TUS29" s="55"/>
      <c r="TUU29" s="55"/>
      <c r="TUW29" s="55"/>
      <c r="TUY29" s="55"/>
      <c r="TVA29" s="55"/>
      <c r="TVC29" s="55"/>
      <c r="TVE29" s="55"/>
      <c r="TVG29" s="55"/>
      <c r="TVI29" s="55"/>
      <c r="TVK29" s="55"/>
      <c r="TVM29" s="55"/>
      <c r="TVO29" s="55"/>
      <c r="TVQ29" s="55"/>
      <c r="TVS29" s="55"/>
      <c r="TVU29" s="55"/>
      <c r="TVW29" s="55"/>
      <c r="TVY29" s="55"/>
      <c r="TWA29" s="55"/>
      <c r="TWC29" s="55"/>
      <c r="TWE29" s="55"/>
      <c r="TWG29" s="55"/>
      <c r="TWI29" s="55"/>
      <c r="TWK29" s="55"/>
      <c r="TWM29" s="55"/>
      <c r="TWO29" s="55"/>
      <c r="TWQ29" s="55"/>
      <c r="TWS29" s="55"/>
      <c r="TWU29" s="55"/>
      <c r="TWW29" s="55"/>
      <c r="TWY29" s="55"/>
      <c r="TXA29" s="55"/>
      <c r="TXC29" s="55"/>
      <c r="TXE29" s="55"/>
      <c r="TXG29" s="55"/>
      <c r="TXI29" s="55"/>
      <c r="TXK29" s="55"/>
      <c r="TXM29" s="55"/>
      <c r="TXO29" s="55"/>
      <c r="TXQ29" s="55"/>
      <c r="TXS29" s="55"/>
      <c r="TXU29" s="55"/>
      <c r="TXW29" s="55"/>
      <c r="TXY29" s="55"/>
      <c r="TYA29" s="55"/>
      <c r="TYC29" s="55"/>
      <c r="TYE29" s="55"/>
      <c r="TYG29" s="55"/>
      <c r="TYI29" s="55"/>
      <c r="TYK29" s="55"/>
      <c r="TYM29" s="55"/>
      <c r="TYO29" s="55"/>
      <c r="TYQ29" s="55"/>
      <c r="TYS29" s="55"/>
      <c r="TYU29" s="55"/>
      <c r="TYW29" s="55"/>
      <c r="TYY29" s="55"/>
      <c r="TZA29" s="55"/>
      <c r="TZC29" s="55"/>
      <c r="TZE29" s="55"/>
      <c r="TZG29" s="55"/>
      <c r="TZI29" s="55"/>
      <c r="TZK29" s="55"/>
      <c r="TZM29" s="55"/>
      <c r="TZO29" s="55"/>
      <c r="TZQ29" s="55"/>
      <c r="TZS29" s="55"/>
      <c r="TZU29" s="55"/>
      <c r="TZW29" s="55"/>
      <c r="TZY29" s="55"/>
      <c r="UAA29" s="55"/>
      <c r="UAC29" s="55"/>
      <c r="UAE29" s="55"/>
      <c r="UAG29" s="55"/>
      <c r="UAI29" s="55"/>
      <c r="UAK29" s="55"/>
      <c r="UAM29" s="55"/>
      <c r="UAO29" s="55"/>
      <c r="UAQ29" s="55"/>
      <c r="UAS29" s="55"/>
      <c r="UAU29" s="55"/>
      <c r="UAW29" s="55"/>
      <c r="UAY29" s="55"/>
      <c r="UBA29" s="55"/>
      <c r="UBC29" s="55"/>
      <c r="UBE29" s="55"/>
      <c r="UBG29" s="55"/>
      <c r="UBI29" s="55"/>
      <c r="UBK29" s="55"/>
      <c r="UBM29" s="55"/>
      <c r="UBO29" s="55"/>
      <c r="UBQ29" s="55"/>
      <c r="UBS29" s="55"/>
      <c r="UBU29" s="55"/>
      <c r="UBW29" s="55"/>
      <c r="UBY29" s="55"/>
      <c r="UCA29" s="55"/>
      <c r="UCC29" s="55"/>
      <c r="UCE29" s="55"/>
      <c r="UCG29" s="55"/>
      <c r="UCI29" s="55"/>
      <c r="UCK29" s="55"/>
      <c r="UCM29" s="55"/>
      <c r="UCO29" s="55"/>
      <c r="UCQ29" s="55"/>
      <c r="UCS29" s="55"/>
      <c r="UCU29" s="55"/>
      <c r="UCW29" s="55"/>
      <c r="UCY29" s="55"/>
      <c r="UDA29" s="55"/>
      <c r="UDC29" s="55"/>
      <c r="UDE29" s="55"/>
      <c r="UDG29" s="55"/>
      <c r="UDI29" s="55"/>
      <c r="UDK29" s="55"/>
      <c r="UDM29" s="55"/>
      <c r="UDO29" s="55"/>
      <c r="UDQ29" s="55"/>
      <c r="UDS29" s="55"/>
      <c r="UDU29" s="55"/>
      <c r="UDW29" s="55"/>
      <c r="UDY29" s="55"/>
      <c r="UEA29" s="55"/>
      <c r="UEC29" s="55"/>
      <c r="UEE29" s="55"/>
      <c r="UEG29" s="55"/>
      <c r="UEI29" s="55"/>
      <c r="UEK29" s="55"/>
      <c r="UEM29" s="55"/>
      <c r="UEO29" s="55"/>
      <c r="UEQ29" s="55"/>
      <c r="UES29" s="55"/>
      <c r="UEU29" s="55"/>
      <c r="UEW29" s="55"/>
      <c r="UEY29" s="55"/>
      <c r="UFA29" s="55"/>
      <c r="UFC29" s="55"/>
      <c r="UFE29" s="55"/>
      <c r="UFG29" s="55"/>
      <c r="UFI29" s="55"/>
      <c r="UFK29" s="55"/>
      <c r="UFM29" s="55"/>
      <c r="UFO29" s="55"/>
      <c r="UFQ29" s="55"/>
      <c r="UFS29" s="55"/>
      <c r="UFU29" s="55"/>
      <c r="UFW29" s="55"/>
      <c r="UFY29" s="55"/>
      <c r="UGA29" s="55"/>
      <c r="UGC29" s="55"/>
      <c r="UGE29" s="55"/>
      <c r="UGG29" s="55"/>
      <c r="UGI29" s="55"/>
      <c r="UGK29" s="55"/>
      <c r="UGM29" s="55"/>
      <c r="UGO29" s="55"/>
      <c r="UGQ29" s="55"/>
      <c r="UGS29" s="55"/>
      <c r="UGU29" s="55"/>
      <c r="UGW29" s="55"/>
      <c r="UGY29" s="55"/>
      <c r="UHA29" s="55"/>
      <c r="UHC29" s="55"/>
      <c r="UHE29" s="55"/>
      <c r="UHG29" s="55"/>
      <c r="UHI29" s="55"/>
      <c r="UHK29" s="55"/>
      <c r="UHM29" s="55"/>
      <c r="UHO29" s="55"/>
      <c r="UHQ29" s="55"/>
      <c r="UHS29" s="55"/>
      <c r="UHU29" s="55"/>
      <c r="UHW29" s="55"/>
      <c r="UHY29" s="55"/>
      <c r="UIA29" s="55"/>
      <c r="UIC29" s="55"/>
      <c r="UIE29" s="55"/>
      <c r="UIG29" s="55"/>
      <c r="UII29" s="55"/>
      <c r="UIK29" s="55"/>
      <c r="UIM29" s="55"/>
      <c r="UIO29" s="55"/>
      <c r="UIQ29" s="55"/>
      <c r="UIS29" s="55"/>
      <c r="UIU29" s="55"/>
      <c r="UIW29" s="55"/>
      <c r="UIY29" s="55"/>
      <c r="UJA29" s="55"/>
      <c r="UJC29" s="55"/>
      <c r="UJE29" s="55"/>
      <c r="UJG29" s="55"/>
      <c r="UJI29" s="55"/>
      <c r="UJK29" s="55"/>
      <c r="UJM29" s="55"/>
      <c r="UJO29" s="55"/>
      <c r="UJQ29" s="55"/>
      <c r="UJS29" s="55"/>
      <c r="UJU29" s="55"/>
      <c r="UJW29" s="55"/>
      <c r="UJY29" s="55"/>
      <c r="UKA29" s="55"/>
      <c r="UKC29" s="55"/>
      <c r="UKE29" s="55"/>
      <c r="UKG29" s="55"/>
      <c r="UKI29" s="55"/>
      <c r="UKK29" s="55"/>
      <c r="UKM29" s="55"/>
      <c r="UKO29" s="55"/>
      <c r="UKQ29" s="55"/>
      <c r="UKS29" s="55"/>
      <c r="UKU29" s="55"/>
      <c r="UKW29" s="55"/>
      <c r="UKY29" s="55"/>
      <c r="ULA29" s="55"/>
      <c r="ULC29" s="55"/>
      <c r="ULE29" s="55"/>
      <c r="ULG29" s="55"/>
      <c r="ULI29" s="55"/>
      <c r="ULK29" s="55"/>
      <c r="ULM29" s="55"/>
      <c r="ULO29" s="55"/>
      <c r="ULQ29" s="55"/>
      <c r="ULS29" s="55"/>
      <c r="ULU29" s="55"/>
      <c r="ULW29" s="55"/>
      <c r="ULY29" s="55"/>
      <c r="UMA29" s="55"/>
      <c r="UMC29" s="55"/>
      <c r="UME29" s="55"/>
      <c r="UMG29" s="55"/>
      <c r="UMI29" s="55"/>
      <c r="UMK29" s="55"/>
      <c r="UMM29" s="55"/>
      <c r="UMO29" s="55"/>
      <c r="UMQ29" s="55"/>
      <c r="UMS29" s="55"/>
      <c r="UMU29" s="55"/>
      <c r="UMW29" s="55"/>
      <c r="UMY29" s="55"/>
      <c r="UNA29" s="55"/>
      <c r="UNC29" s="55"/>
      <c r="UNE29" s="55"/>
      <c r="UNG29" s="55"/>
      <c r="UNI29" s="55"/>
      <c r="UNK29" s="55"/>
      <c r="UNM29" s="55"/>
      <c r="UNO29" s="55"/>
      <c r="UNQ29" s="55"/>
      <c r="UNS29" s="55"/>
      <c r="UNU29" s="55"/>
      <c r="UNW29" s="55"/>
      <c r="UNY29" s="55"/>
      <c r="UOA29" s="55"/>
      <c r="UOC29" s="55"/>
      <c r="UOE29" s="55"/>
      <c r="UOG29" s="55"/>
      <c r="UOI29" s="55"/>
      <c r="UOK29" s="55"/>
      <c r="UOM29" s="55"/>
      <c r="UOO29" s="55"/>
      <c r="UOQ29" s="55"/>
      <c r="UOS29" s="55"/>
      <c r="UOU29" s="55"/>
      <c r="UOW29" s="55"/>
      <c r="UOY29" s="55"/>
      <c r="UPA29" s="55"/>
      <c r="UPC29" s="55"/>
      <c r="UPE29" s="55"/>
      <c r="UPG29" s="55"/>
      <c r="UPI29" s="55"/>
      <c r="UPK29" s="55"/>
      <c r="UPM29" s="55"/>
      <c r="UPO29" s="55"/>
      <c r="UPQ29" s="55"/>
      <c r="UPS29" s="55"/>
      <c r="UPU29" s="55"/>
      <c r="UPW29" s="55"/>
      <c r="UPY29" s="55"/>
      <c r="UQA29" s="55"/>
      <c r="UQC29" s="55"/>
      <c r="UQE29" s="55"/>
      <c r="UQG29" s="55"/>
      <c r="UQI29" s="55"/>
      <c r="UQK29" s="55"/>
      <c r="UQM29" s="55"/>
      <c r="UQO29" s="55"/>
      <c r="UQQ29" s="55"/>
      <c r="UQS29" s="55"/>
      <c r="UQU29" s="55"/>
      <c r="UQW29" s="55"/>
      <c r="UQY29" s="55"/>
      <c r="URA29" s="55"/>
      <c r="URC29" s="55"/>
      <c r="URE29" s="55"/>
      <c r="URG29" s="55"/>
      <c r="URI29" s="55"/>
      <c r="URK29" s="55"/>
      <c r="URM29" s="55"/>
      <c r="URO29" s="55"/>
      <c r="URQ29" s="55"/>
      <c r="URS29" s="55"/>
      <c r="URU29" s="55"/>
      <c r="URW29" s="55"/>
      <c r="URY29" s="55"/>
      <c r="USA29" s="55"/>
      <c r="USC29" s="55"/>
      <c r="USE29" s="55"/>
      <c r="USG29" s="55"/>
      <c r="USI29" s="55"/>
      <c r="USK29" s="55"/>
      <c r="USM29" s="55"/>
      <c r="USO29" s="55"/>
      <c r="USQ29" s="55"/>
      <c r="USS29" s="55"/>
      <c r="USU29" s="55"/>
      <c r="USW29" s="55"/>
      <c r="USY29" s="55"/>
      <c r="UTA29" s="55"/>
      <c r="UTC29" s="55"/>
      <c r="UTE29" s="55"/>
      <c r="UTG29" s="55"/>
      <c r="UTI29" s="55"/>
      <c r="UTK29" s="55"/>
      <c r="UTM29" s="55"/>
      <c r="UTO29" s="55"/>
      <c r="UTQ29" s="55"/>
      <c r="UTS29" s="55"/>
      <c r="UTU29" s="55"/>
      <c r="UTW29" s="55"/>
      <c r="UTY29" s="55"/>
      <c r="UUA29" s="55"/>
      <c r="UUC29" s="55"/>
      <c r="UUE29" s="55"/>
      <c r="UUG29" s="55"/>
      <c r="UUI29" s="55"/>
      <c r="UUK29" s="55"/>
      <c r="UUM29" s="55"/>
      <c r="UUO29" s="55"/>
      <c r="UUQ29" s="55"/>
      <c r="UUS29" s="55"/>
      <c r="UUU29" s="55"/>
      <c r="UUW29" s="55"/>
      <c r="UUY29" s="55"/>
      <c r="UVA29" s="55"/>
      <c r="UVC29" s="55"/>
      <c r="UVE29" s="55"/>
      <c r="UVG29" s="55"/>
      <c r="UVI29" s="55"/>
      <c r="UVK29" s="55"/>
      <c r="UVM29" s="55"/>
      <c r="UVO29" s="55"/>
      <c r="UVQ29" s="55"/>
      <c r="UVS29" s="55"/>
      <c r="UVU29" s="55"/>
      <c r="UVW29" s="55"/>
      <c r="UVY29" s="55"/>
      <c r="UWA29" s="55"/>
      <c r="UWC29" s="55"/>
      <c r="UWE29" s="55"/>
      <c r="UWG29" s="55"/>
      <c r="UWI29" s="55"/>
      <c r="UWK29" s="55"/>
      <c r="UWM29" s="55"/>
      <c r="UWO29" s="55"/>
      <c r="UWQ29" s="55"/>
      <c r="UWS29" s="55"/>
      <c r="UWU29" s="55"/>
      <c r="UWW29" s="55"/>
      <c r="UWY29" s="55"/>
      <c r="UXA29" s="55"/>
      <c r="UXC29" s="55"/>
      <c r="UXE29" s="55"/>
      <c r="UXG29" s="55"/>
      <c r="UXI29" s="55"/>
      <c r="UXK29" s="55"/>
      <c r="UXM29" s="55"/>
      <c r="UXO29" s="55"/>
      <c r="UXQ29" s="55"/>
      <c r="UXS29" s="55"/>
      <c r="UXU29" s="55"/>
      <c r="UXW29" s="55"/>
      <c r="UXY29" s="55"/>
      <c r="UYA29" s="55"/>
      <c r="UYC29" s="55"/>
      <c r="UYE29" s="55"/>
      <c r="UYG29" s="55"/>
      <c r="UYI29" s="55"/>
      <c r="UYK29" s="55"/>
      <c r="UYM29" s="55"/>
      <c r="UYO29" s="55"/>
      <c r="UYQ29" s="55"/>
      <c r="UYS29" s="55"/>
      <c r="UYU29" s="55"/>
      <c r="UYW29" s="55"/>
      <c r="UYY29" s="55"/>
      <c r="UZA29" s="55"/>
      <c r="UZC29" s="55"/>
      <c r="UZE29" s="55"/>
      <c r="UZG29" s="55"/>
      <c r="UZI29" s="55"/>
      <c r="UZK29" s="55"/>
      <c r="UZM29" s="55"/>
      <c r="UZO29" s="55"/>
      <c r="UZQ29" s="55"/>
      <c r="UZS29" s="55"/>
      <c r="UZU29" s="55"/>
      <c r="UZW29" s="55"/>
      <c r="UZY29" s="55"/>
      <c r="VAA29" s="55"/>
      <c r="VAC29" s="55"/>
      <c r="VAE29" s="55"/>
      <c r="VAG29" s="55"/>
      <c r="VAI29" s="55"/>
      <c r="VAK29" s="55"/>
      <c r="VAM29" s="55"/>
      <c r="VAO29" s="55"/>
      <c r="VAQ29" s="55"/>
      <c r="VAS29" s="55"/>
      <c r="VAU29" s="55"/>
      <c r="VAW29" s="55"/>
      <c r="VAY29" s="55"/>
      <c r="VBA29" s="55"/>
      <c r="VBC29" s="55"/>
      <c r="VBE29" s="55"/>
      <c r="VBG29" s="55"/>
      <c r="VBI29" s="55"/>
      <c r="VBK29" s="55"/>
      <c r="VBM29" s="55"/>
      <c r="VBO29" s="55"/>
      <c r="VBQ29" s="55"/>
      <c r="VBS29" s="55"/>
      <c r="VBU29" s="55"/>
      <c r="VBW29" s="55"/>
      <c r="VBY29" s="55"/>
      <c r="VCA29" s="55"/>
      <c r="VCC29" s="55"/>
      <c r="VCE29" s="55"/>
      <c r="VCG29" s="55"/>
      <c r="VCI29" s="55"/>
      <c r="VCK29" s="55"/>
      <c r="VCM29" s="55"/>
      <c r="VCO29" s="55"/>
      <c r="VCQ29" s="55"/>
      <c r="VCS29" s="55"/>
      <c r="VCU29" s="55"/>
      <c r="VCW29" s="55"/>
      <c r="VCY29" s="55"/>
      <c r="VDA29" s="55"/>
      <c r="VDC29" s="55"/>
      <c r="VDE29" s="55"/>
      <c r="VDG29" s="55"/>
      <c r="VDI29" s="55"/>
      <c r="VDK29" s="55"/>
      <c r="VDM29" s="55"/>
      <c r="VDO29" s="55"/>
      <c r="VDQ29" s="55"/>
      <c r="VDS29" s="55"/>
      <c r="VDU29" s="55"/>
      <c r="VDW29" s="55"/>
      <c r="VDY29" s="55"/>
      <c r="VEA29" s="55"/>
      <c r="VEC29" s="55"/>
      <c r="VEE29" s="55"/>
      <c r="VEG29" s="55"/>
      <c r="VEI29" s="55"/>
      <c r="VEK29" s="55"/>
      <c r="VEM29" s="55"/>
      <c r="VEO29" s="55"/>
      <c r="VEQ29" s="55"/>
      <c r="VES29" s="55"/>
      <c r="VEU29" s="55"/>
      <c r="VEW29" s="55"/>
      <c r="VEY29" s="55"/>
      <c r="VFA29" s="55"/>
      <c r="VFC29" s="55"/>
      <c r="VFE29" s="55"/>
      <c r="VFG29" s="55"/>
      <c r="VFI29" s="55"/>
      <c r="VFK29" s="55"/>
      <c r="VFM29" s="55"/>
      <c r="VFO29" s="55"/>
      <c r="VFQ29" s="55"/>
      <c r="VFS29" s="55"/>
      <c r="VFU29" s="55"/>
      <c r="VFW29" s="55"/>
      <c r="VFY29" s="55"/>
      <c r="VGA29" s="55"/>
      <c r="VGC29" s="55"/>
      <c r="VGE29" s="55"/>
      <c r="VGG29" s="55"/>
      <c r="VGI29" s="55"/>
      <c r="VGK29" s="55"/>
      <c r="VGM29" s="55"/>
      <c r="VGO29" s="55"/>
      <c r="VGQ29" s="55"/>
      <c r="VGS29" s="55"/>
      <c r="VGU29" s="55"/>
      <c r="VGW29" s="55"/>
      <c r="VGY29" s="55"/>
      <c r="VHA29" s="55"/>
      <c r="VHC29" s="55"/>
      <c r="VHE29" s="55"/>
      <c r="VHG29" s="55"/>
      <c r="VHI29" s="55"/>
      <c r="VHK29" s="55"/>
      <c r="VHM29" s="55"/>
      <c r="VHO29" s="55"/>
      <c r="VHQ29" s="55"/>
      <c r="VHS29" s="55"/>
      <c r="VHU29" s="55"/>
      <c r="VHW29" s="55"/>
      <c r="VHY29" s="55"/>
      <c r="VIA29" s="55"/>
      <c r="VIC29" s="55"/>
      <c r="VIE29" s="55"/>
      <c r="VIG29" s="55"/>
      <c r="VII29" s="55"/>
      <c r="VIK29" s="55"/>
      <c r="VIM29" s="55"/>
      <c r="VIO29" s="55"/>
      <c r="VIQ29" s="55"/>
      <c r="VIS29" s="55"/>
      <c r="VIU29" s="55"/>
      <c r="VIW29" s="55"/>
      <c r="VIY29" s="55"/>
      <c r="VJA29" s="55"/>
      <c r="VJC29" s="55"/>
      <c r="VJE29" s="55"/>
      <c r="VJG29" s="55"/>
      <c r="VJI29" s="55"/>
      <c r="VJK29" s="55"/>
      <c r="VJM29" s="55"/>
      <c r="VJO29" s="55"/>
      <c r="VJQ29" s="55"/>
      <c r="VJS29" s="55"/>
      <c r="VJU29" s="55"/>
      <c r="VJW29" s="55"/>
      <c r="VJY29" s="55"/>
      <c r="VKA29" s="55"/>
      <c r="VKC29" s="55"/>
      <c r="VKE29" s="55"/>
      <c r="VKG29" s="55"/>
      <c r="VKI29" s="55"/>
      <c r="VKK29" s="55"/>
      <c r="VKM29" s="55"/>
      <c r="VKO29" s="55"/>
      <c r="VKQ29" s="55"/>
      <c r="VKS29" s="55"/>
      <c r="VKU29" s="55"/>
      <c r="VKW29" s="55"/>
      <c r="VKY29" s="55"/>
      <c r="VLA29" s="55"/>
      <c r="VLC29" s="55"/>
      <c r="VLE29" s="55"/>
      <c r="VLG29" s="55"/>
      <c r="VLI29" s="55"/>
      <c r="VLK29" s="55"/>
      <c r="VLM29" s="55"/>
      <c r="VLO29" s="55"/>
      <c r="VLQ29" s="55"/>
      <c r="VLS29" s="55"/>
      <c r="VLU29" s="55"/>
      <c r="VLW29" s="55"/>
      <c r="VLY29" s="55"/>
      <c r="VMA29" s="55"/>
      <c r="VMC29" s="55"/>
      <c r="VME29" s="55"/>
      <c r="VMG29" s="55"/>
      <c r="VMI29" s="55"/>
      <c r="VMK29" s="55"/>
      <c r="VMM29" s="55"/>
      <c r="VMO29" s="55"/>
      <c r="VMQ29" s="55"/>
      <c r="VMS29" s="55"/>
      <c r="VMU29" s="55"/>
      <c r="VMW29" s="55"/>
      <c r="VMY29" s="55"/>
      <c r="VNA29" s="55"/>
      <c r="VNC29" s="55"/>
      <c r="VNE29" s="55"/>
      <c r="VNG29" s="55"/>
      <c r="VNI29" s="55"/>
      <c r="VNK29" s="55"/>
      <c r="VNM29" s="55"/>
      <c r="VNO29" s="55"/>
      <c r="VNQ29" s="55"/>
      <c r="VNS29" s="55"/>
      <c r="VNU29" s="55"/>
      <c r="VNW29" s="55"/>
      <c r="VNY29" s="55"/>
      <c r="VOA29" s="55"/>
      <c r="VOC29" s="55"/>
      <c r="VOE29" s="55"/>
      <c r="VOG29" s="55"/>
      <c r="VOI29" s="55"/>
      <c r="VOK29" s="55"/>
      <c r="VOM29" s="55"/>
      <c r="VOO29" s="55"/>
      <c r="VOQ29" s="55"/>
      <c r="VOS29" s="55"/>
      <c r="VOU29" s="55"/>
      <c r="VOW29" s="55"/>
      <c r="VOY29" s="55"/>
      <c r="VPA29" s="55"/>
      <c r="VPC29" s="55"/>
      <c r="VPE29" s="55"/>
      <c r="VPG29" s="55"/>
      <c r="VPI29" s="55"/>
      <c r="VPK29" s="55"/>
      <c r="VPM29" s="55"/>
      <c r="VPO29" s="55"/>
      <c r="VPQ29" s="55"/>
      <c r="VPS29" s="55"/>
      <c r="VPU29" s="55"/>
      <c r="VPW29" s="55"/>
      <c r="VPY29" s="55"/>
      <c r="VQA29" s="55"/>
      <c r="VQC29" s="55"/>
      <c r="VQE29" s="55"/>
      <c r="VQG29" s="55"/>
      <c r="VQI29" s="55"/>
      <c r="VQK29" s="55"/>
      <c r="VQM29" s="55"/>
      <c r="VQO29" s="55"/>
      <c r="VQQ29" s="55"/>
      <c r="VQS29" s="55"/>
      <c r="VQU29" s="55"/>
      <c r="VQW29" s="55"/>
      <c r="VQY29" s="55"/>
      <c r="VRA29" s="55"/>
      <c r="VRC29" s="55"/>
      <c r="VRE29" s="55"/>
      <c r="VRG29" s="55"/>
      <c r="VRI29" s="55"/>
      <c r="VRK29" s="55"/>
      <c r="VRM29" s="55"/>
      <c r="VRO29" s="55"/>
      <c r="VRQ29" s="55"/>
      <c r="VRS29" s="55"/>
      <c r="VRU29" s="55"/>
      <c r="VRW29" s="55"/>
      <c r="VRY29" s="55"/>
      <c r="VSA29" s="55"/>
      <c r="VSC29" s="55"/>
      <c r="VSE29" s="55"/>
      <c r="VSG29" s="55"/>
      <c r="VSI29" s="55"/>
      <c r="VSK29" s="55"/>
      <c r="VSM29" s="55"/>
      <c r="VSO29" s="55"/>
      <c r="VSQ29" s="55"/>
      <c r="VSS29" s="55"/>
      <c r="VSU29" s="55"/>
      <c r="VSW29" s="55"/>
      <c r="VSY29" s="55"/>
      <c r="VTA29" s="55"/>
      <c r="VTC29" s="55"/>
      <c r="VTE29" s="55"/>
      <c r="VTG29" s="55"/>
      <c r="VTI29" s="55"/>
      <c r="VTK29" s="55"/>
      <c r="VTM29" s="55"/>
      <c r="VTO29" s="55"/>
      <c r="VTQ29" s="55"/>
      <c r="VTS29" s="55"/>
      <c r="VTU29" s="55"/>
      <c r="VTW29" s="55"/>
      <c r="VTY29" s="55"/>
      <c r="VUA29" s="55"/>
      <c r="VUC29" s="55"/>
      <c r="VUE29" s="55"/>
      <c r="VUG29" s="55"/>
      <c r="VUI29" s="55"/>
      <c r="VUK29" s="55"/>
      <c r="VUM29" s="55"/>
      <c r="VUO29" s="55"/>
      <c r="VUQ29" s="55"/>
      <c r="VUS29" s="55"/>
      <c r="VUU29" s="55"/>
      <c r="VUW29" s="55"/>
      <c r="VUY29" s="55"/>
      <c r="VVA29" s="55"/>
      <c r="VVC29" s="55"/>
      <c r="VVE29" s="55"/>
      <c r="VVG29" s="55"/>
      <c r="VVI29" s="55"/>
      <c r="VVK29" s="55"/>
      <c r="VVM29" s="55"/>
      <c r="VVO29" s="55"/>
      <c r="VVQ29" s="55"/>
      <c r="VVS29" s="55"/>
      <c r="VVU29" s="55"/>
      <c r="VVW29" s="55"/>
      <c r="VVY29" s="55"/>
      <c r="VWA29" s="55"/>
      <c r="VWC29" s="55"/>
      <c r="VWE29" s="55"/>
      <c r="VWG29" s="55"/>
      <c r="VWI29" s="55"/>
      <c r="VWK29" s="55"/>
      <c r="VWM29" s="55"/>
      <c r="VWO29" s="55"/>
      <c r="VWQ29" s="55"/>
      <c r="VWS29" s="55"/>
      <c r="VWU29" s="55"/>
      <c r="VWW29" s="55"/>
      <c r="VWY29" s="55"/>
      <c r="VXA29" s="55"/>
      <c r="VXC29" s="55"/>
      <c r="VXE29" s="55"/>
      <c r="VXG29" s="55"/>
      <c r="VXI29" s="55"/>
      <c r="VXK29" s="55"/>
      <c r="VXM29" s="55"/>
      <c r="VXO29" s="55"/>
      <c r="VXQ29" s="55"/>
      <c r="VXS29" s="55"/>
      <c r="VXU29" s="55"/>
      <c r="VXW29" s="55"/>
      <c r="VXY29" s="55"/>
      <c r="VYA29" s="55"/>
      <c r="VYC29" s="55"/>
      <c r="VYE29" s="55"/>
      <c r="VYG29" s="55"/>
      <c r="VYI29" s="55"/>
      <c r="VYK29" s="55"/>
      <c r="VYM29" s="55"/>
      <c r="VYO29" s="55"/>
      <c r="VYQ29" s="55"/>
      <c r="VYS29" s="55"/>
      <c r="VYU29" s="55"/>
      <c r="VYW29" s="55"/>
      <c r="VYY29" s="55"/>
      <c r="VZA29" s="55"/>
      <c r="VZC29" s="55"/>
      <c r="VZE29" s="55"/>
      <c r="VZG29" s="55"/>
      <c r="VZI29" s="55"/>
      <c r="VZK29" s="55"/>
      <c r="VZM29" s="55"/>
      <c r="VZO29" s="55"/>
      <c r="VZQ29" s="55"/>
      <c r="VZS29" s="55"/>
      <c r="VZU29" s="55"/>
      <c r="VZW29" s="55"/>
      <c r="VZY29" s="55"/>
      <c r="WAA29" s="55"/>
      <c r="WAC29" s="55"/>
      <c r="WAE29" s="55"/>
      <c r="WAG29" s="55"/>
      <c r="WAI29" s="55"/>
      <c r="WAK29" s="55"/>
      <c r="WAM29" s="55"/>
      <c r="WAO29" s="55"/>
      <c r="WAQ29" s="55"/>
      <c r="WAS29" s="55"/>
      <c r="WAU29" s="55"/>
      <c r="WAW29" s="55"/>
      <c r="WAY29" s="55"/>
      <c r="WBA29" s="55"/>
      <c r="WBC29" s="55"/>
      <c r="WBE29" s="55"/>
      <c r="WBG29" s="55"/>
      <c r="WBI29" s="55"/>
      <c r="WBK29" s="55"/>
      <c r="WBM29" s="55"/>
      <c r="WBO29" s="55"/>
      <c r="WBQ29" s="55"/>
      <c r="WBS29" s="55"/>
      <c r="WBU29" s="55"/>
      <c r="WBW29" s="55"/>
      <c r="WBY29" s="55"/>
      <c r="WCA29" s="55"/>
      <c r="WCC29" s="55"/>
      <c r="WCE29" s="55"/>
      <c r="WCG29" s="55"/>
      <c r="WCI29" s="55"/>
      <c r="WCK29" s="55"/>
      <c r="WCM29" s="55"/>
      <c r="WCO29" s="55"/>
      <c r="WCQ29" s="55"/>
      <c r="WCS29" s="55"/>
      <c r="WCU29" s="55"/>
      <c r="WCW29" s="55"/>
      <c r="WCY29" s="55"/>
      <c r="WDA29" s="55"/>
      <c r="WDC29" s="55"/>
      <c r="WDE29" s="55"/>
      <c r="WDG29" s="55"/>
      <c r="WDI29" s="55"/>
      <c r="WDK29" s="55"/>
      <c r="WDM29" s="55"/>
      <c r="WDO29" s="55"/>
      <c r="WDQ29" s="55"/>
      <c r="WDS29" s="55"/>
      <c r="WDU29" s="55"/>
      <c r="WDW29" s="55"/>
      <c r="WDY29" s="55"/>
      <c r="WEA29" s="55"/>
      <c r="WEC29" s="55"/>
      <c r="WEE29" s="55"/>
      <c r="WEG29" s="55"/>
      <c r="WEI29" s="55"/>
      <c r="WEK29" s="55"/>
      <c r="WEM29" s="55"/>
      <c r="WEO29" s="55"/>
      <c r="WEQ29" s="55"/>
      <c r="WES29" s="55"/>
      <c r="WEU29" s="55"/>
      <c r="WEW29" s="55"/>
      <c r="WEY29" s="55"/>
      <c r="WFA29" s="55"/>
      <c r="WFC29" s="55"/>
      <c r="WFE29" s="55"/>
      <c r="WFG29" s="55"/>
      <c r="WFI29" s="55"/>
      <c r="WFK29" s="55"/>
      <c r="WFM29" s="55"/>
      <c r="WFO29" s="55"/>
      <c r="WFQ29" s="55"/>
      <c r="WFS29" s="55"/>
      <c r="WFU29" s="55"/>
      <c r="WFW29" s="55"/>
      <c r="WFY29" s="55"/>
      <c r="WGA29" s="55"/>
      <c r="WGC29" s="55"/>
      <c r="WGE29" s="55"/>
      <c r="WGG29" s="55"/>
      <c r="WGI29" s="55"/>
      <c r="WGK29" s="55"/>
      <c r="WGM29" s="55"/>
      <c r="WGO29" s="55"/>
      <c r="WGQ29" s="55"/>
      <c r="WGS29" s="55"/>
      <c r="WGU29" s="55"/>
      <c r="WGW29" s="55"/>
      <c r="WGY29" s="55"/>
      <c r="WHA29" s="55"/>
      <c r="WHC29" s="55"/>
      <c r="WHE29" s="55"/>
      <c r="WHG29" s="55"/>
      <c r="WHI29" s="55"/>
      <c r="WHK29" s="55"/>
      <c r="WHM29" s="55"/>
      <c r="WHO29" s="55"/>
      <c r="WHQ29" s="55"/>
      <c r="WHS29" s="55"/>
      <c r="WHU29" s="55"/>
      <c r="WHW29" s="55"/>
      <c r="WHY29" s="55"/>
      <c r="WIA29" s="55"/>
      <c r="WIC29" s="55"/>
      <c r="WIE29" s="55"/>
      <c r="WIG29" s="55"/>
      <c r="WII29" s="55"/>
      <c r="WIK29" s="55"/>
      <c r="WIM29" s="55"/>
      <c r="WIO29" s="55"/>
      <c r="WIQ29" s="55"/>
      <c r="WIS29" s="55"/>
      <c r="WIU29" s="55"/>
      <c r="WIW29" s="55"/>
      <c r="WIY29" s="55"/>
      <c r="WJA29" s="55"/>
      <c r="WJC29" s="55"/>
      <c r="WJE29" s="55"/>
      <c r="WJG29" s="55"/>
      <c r="WJI29" s="55"/>
      <c r="WJK29" s="55"/>
      <c r="WJM29" s="55"/>
      <c r="WJO29" s="55"/>
      <c r="WJQ29" s="55"/>
      <c r="WJS29" s="55"/>
      <c r="WJU29" s="55"/>
      <c r="WJW29" s="55"/>
      <c r="WJY29" s="55"/>
      <c r="WKA29" s="55"/>
      <c r="WKC29" s="55"/>
      <c r="WKE29" s="55"/>
      <c r="WKG29" s="55"/>
      <c r="WKI29" s="55"/>
      <c r="WKK29" s="55"/>
      <c r="WKM29" s="55"/>
      <c r="WKO29" s="55"/>
      <c r="WKQ29" s="55"/>
      <c r="WKS29" s="55"/>
      <c r="WKU29" s="55"/>
      <c r="WKW29" s="55"/>
      <c r="WKY29" s="55"/>
      <c r="WLA29" s="55"/>
      <c r="WLC29" s="55"/>
      <c r="WLE29" s="55"/>
      <c r="WLG29" s="55"/>
      <c r="WLI29" s="55"/>
      <c r="WLK29" s="55"/>
      <c r="WLM29" s="55"/>
      <c r="WLO29" s="55"/>
      <c r="WLQ29" s="55"/>
      <c r="WLS29" s="55"/>
      <c r="WLU29" s="55"/>
      <c r="WLW29" s="55"/>
      <c r="WLY29" s="55"/>
      <c r="WMA29" s="55"/>
      <c r="WMC29" s="55"/>
      <c r="WME29" s="55"/>
      <c r="WMG29" s="55"/>
      <c r="WMI29" s="55"/>
      <c r="WMK29" s="55"/>
      <c r="WMM29" s="55"/>
      <c r="WMO29" s="55"/>
      <c r="WMQ29" s="55"/>
      <c r="WMS29" s="55"/>
      <c r="WMU29" s="55"/>
      <c r="WMW29" s="55"/>
      <c r="WMY29" s="55"/>
      <c r="WNA29" s="55"/>
      <c r="WNC29" s="55"/>
      <c r="WNE29" s="55"/>
      <c r="WNG29" s="55"/>
      <c r="WNI29" s="55"/>
      <c r="WNK29" s="55"/>
      <c r="WNM29" s="55"/>
      <c r="WNO29" s="55"/>
      <c r="WNQ29" s="55"/>
      <c r="WNS29" s="55"/>
      <c r="WNU29" s="55"/>
      <c r="WNW29" s="55"/>
      <c r="WNY29" s="55"/>
      <c r="WOA29" s="55"/>
      <c r="WOC29" s="55"/>
      <c r="WOE29" s="55"/>
      <c r="WOG29" s="55"/>
      <c r="WOI29" s="55"/>
      <c r="WOK29" s="55"/>
      <c r="WOM29" s="55"/>
      <c r="WOO29" s="55"/>
      <c r="WOQ29" s="55"/>
      <c r="WOS29" s="55"/>
      <c r="WOU29" s="55"/>
      <c r="WOW29" s="55"/>
      <c r="WOY29" s="55"/>
      <c r="WPA29" s="55"/>
      <c r="WPC29" s="55"/>
      <c r="WPE29" s="55"/>
      <c r="WPG29" s="55"/>
      <c r="WPI29" s="55"/>
      <c r="WPK29" s="55"/>
      <c r="WPM29" s="55"/>
      <c r="WPO29" s="55"/>
      <c r="WPQ29" s="55"/>
      <c r="WPS29" s="55"/>
      <c r="WPU29" s="55"/>
      <c r="WPW29" s="55"/>
      <c r="WPY29" s="55"/>
      <c r="WQA29" s="55"/>
      <c r="WQC29" s="55"/>
      <c r="WQE29" s="55"/>
      <c r="WQG29" s="55"/>
      <c r="WQI29" s="55"/>
      <c r="WQK29" s="55"/>
      <c r="WQM29" s="55"/>
      <c r="WQO29" s="55"/>
      <c r="WQQ29" s="55"/>
      <c r="WQS29" s="55"/>
      <c r="WQU29" s="55"/>
      <c r="WQW29" s="55"/>
      <c r="WQY29" s="55"/>
      <c r="WRA29" s="55"/>
      <c r="WRC29" s="55"/>
      <c r="WRE29" s="55"/>
      <c r="WRG29" s="55"/>
      <c r="WRI29" s="55"/>
      <c r="WRK29" s="55"/>
      <c r="WRM29" s="55"/>
      <c r="WRO29" s="55"/>
      <c r="WRQ29" s="55"/>
      <c r="WRS29" s="55"/>
      <c r="WRU29" s="55"/>
      <c r="WRW29" s="55"/>
      <c r="WRY29" s="55"/>
      <c r="WSA29" s="55"/>
      <c r="WSC29" s="55"/>
      <c r="WSE29" s="55"/>
      <c r="WSG29" s="55"/>
      <c r="WSI29" s="55"/>
      <c r="WSK29" s="55"/>
      <c r="WSM29" s="55"/>
      <c r="WSO29" s="55"/>
      <c r="WSQ29" s="55"/>
      <c r="WSS29" s="55"/>
      <c r="WSU29" s="55"/>
      <c r="WSW29" s="55"/>
      <c r="WSY29" s="55"/>
      <c r="WTA29" s="55"/>
      <c r="WTC29" s="55"/>
      <c r="WTE29" s="55"/>
      <c r="WTG29" s="55"/>
      <c r="WTI29" s="55"/>
      <c r="WTK29" s="55"/>
      <c r="WTM29" s="55"/>
      <c r="WTO29" s="55"/>
      <c r="WTQ29" s="55"/>
      <c r="WTS29" s="55"/>
      <c r="WTU29" s="55"/>
      <c r="WTW29" s="55"/>
      <c r="WTY29" s="55"/>
      <c r="WUA29" s="55"/>
      <c r="WUC29" s="55"/>
      <c r="WUE29" s="55"/>
      <c r="WUG29" s="55"/>
      <c r="WUI29" s="55"/>
      <c r="WUK29" s="55"/>
      <c r="WUM29" s="55"/>
      <c r="WUO29" s="55"/>
      <c r="WUQ29" s="55"/>
      <c r="WUS29" s="55"/>
      <c r="WUU29" s="55"/>
      <c r="WUW29" s="55"/>
      <c r="WUY29" s="55"/>
      <c r="WVA29" s="55"/>
      <c r="WVC29" s="55"/>
      <c r="WVE29" s="55"/>
      <c r="WVG29" s="55"/>
      <c r="WVI29" s="55"/>
      <c r="WVK29" s="55"/>
      <c r="WVM29" s="55"/>
      <c r="WVO29" s="55"/>
      <c r="WVQ29" s="55"/>
      <c r="WVS29" s="55"/>
      <c r="WVU29" s="55"/>
      <c r="WVW29" s="55"/>
      <c r="WVY29" s="55"/>
      <c r="WWA29" s="55"/>
      <c r="WWC29" s="55"/>
      <c r="WWE29" s="55"/>
      <c r="WWG29" s="55"/>
      <c r="WWI29" s="55"/>
      <c r="WWK29" s="55"/>
      <c r="WWM29" s="55"/>
      <c r="WWO29" s="55"/>
      <c r="WWQ29" s="55"/>
      <c r="WWS29" s="55"/>
      <c r="WWU29" s="55"/>
      <c r="WWW29" s="55"/>
      <c r="WWY29" s="55"/>
      <c r="WXA29" s="55"/>
      <c r="WXC29" s="55"/>
      <c r="WXE29" s="55"/>
      <c r="WXG29" s="55"/>
      <c r="WXI29" s="55"/>
      <c r="WXK29" s="55"/>
      <c r="WXM29" s="55"/>
      <c r="WXO29" s="55"/>
      <c r="WXQ29" s="55"/>
      <c r="WXS29" s="55"/>
      <c r="WXU29" s="55"/>
      <c r="WXW29" s="55"/>
      <c r="WXY29" s="55"/>
      <c r="WYA29" s="55"/>
      <c r="WYC29" s="55"/>
      <c r="WYE29" s="55"/>
      <c r="WYG29" s="55"/>
      <c r="WYI29" s="55"/>
      <c r="WYK29" s="55"/>
      <c r="WYM29" s="55"/>
      <c r="WYO29" s="55"/>
      <c r="WYQ29" s="55"/>
      <c r="WYS29" s="55"/>
      <c r="WYU29" s="55"/>
      <c r="WYW29" s="55"/>
      <c r="WYY29" s="55"/>
      <c r="WZA29" s="55"/>
      <c r="WZC29" s="55"/>
      <c r="WZE29" s="55"/>
      <c r="WZG29" s="55"/>
      <c r="WZI29" s="55"/>
      <c r="WZK29" s="55"/>
      <c r="WZM29" s="55"/>
      <c r="WZO29" s="55"/>
      <c r="WZQ29" s="55"/>
      <c r="WZS29" s="55"/>
      <c r="WZU29" s="55"/>
      <c r="WZW29" s="55"/>
      <c r="WZY29" s="55"/>
      <c r="XAA29" s="55"/>
      <c r="XAC29" s="55"/>
      <c r="XAE29" s="55"/>
      <c r="XAG29" s="55"/>
      <c r="XAI29" s="55"/>
      <c r="XAK29" s="55"/>
      <c r="XAM29" s="55"/>
      <c r="XAO29" s="55"/>
      <c r="XAQ29" s="55"/>
      <c r="XAS29" s="55"/>
      <c r="XAU29" s="55"/>
      <c r="XAW29" s="55"/>
      <c r="XAY29" s="55"/>
      <c r="XBA29" s="55"/>
      <c r="XBC29" s="55"/>
      <c r="XBE29" s="55"/>
      <c r="XBG29" s="55"/>
      <c r="XBI29" s="55"/>
      <c r="XBK29" s="55"/>
      <c r="XBM29" s="55"/>
      <c r="XBO29" s="55"/>
      <c r="XBQ29" s="55"/>
      <c r="XBS29" s="55"/>
      <c r="XBU29" s="55"/>
      <c r="XBW29" s="55"/>
      <c r="XBY29" s="55"/>
      <c r="XCA29" s="55"/>
      <c r="XCC29" s="55"/>
      <c r="XCE29" s="55"/>
      <c r="XCG29" s="55"/>
      <c r="XCI29" s="55"/>
      <c r="XCK29" s="55"/>
      <c r="XCM29" s="55"/>
      <c r="XCO29" s="55"/>
      <c r="XCQ29" s="55"/>
      <c r="XCS29" s="55"/>
      <c r="XCU29" s="55"/>
      <c r="XCW29" s="55"/>
      <c r="XCY29" s="55"/>
      <c r="XDA29" s="55"/>
      <c r="XDC29" s="55"/>
      <c r="XDE29" s="55"/>
      <c r="XDG29" s="55"/>
      <c r="XDI29" s="55"/>
      <c r="XDK29" s="55"/>
      <c r="XDM29" s="55"/>
      <c r="XDO29" s="55"/>
      <c r="XDQ29" s="55"/>
      <c r="XDS29" s="55"/>
      <c r="XDU29" s="55"/>
      <c r="XDW29" s="55"/>
      <c r="XDY29" s="55"/>
      <c r="XEA29" s="55"/>
      <c r="XEC29" s="55"/>
      <c r="XEE29" s="55"/>
      <c r="XEG29" s="55"/>
      <c r="XEI29" s="55"/>
      <c r="XEK29" s="55"/>
      <c r="XEM29" s="55"/>
      <c r="XEO29" s="55"/>
      <c r="XEQ29" s="55"/>
      <c r="XES29" s="55"/>
      <c r="XEU29" s="55"/>
      <c r="XEW29" s="55"/>
      <c r="XEY29" s="55"/>
      <c r="XFA29" s="55"/>
      <c r="XFC29" s="55"/>
    </row>
    <row r="30" spans="1:1023 1025:2047 2049:3071 3073:4095 4097:5119 5121:6143 6145:7167 7169:8191 8193:9215 9217:10239 10241:11263 11265:12287 12289:13311 13313:14335 14337:15359 15361:16383" ht="15.6" x14ac:dyDescent="0.3">
      <c r="F30" s="263"/>
      <c r="G30" s="51"/>
      <c r="H30" s="263"/>
      <c r="I30" s="263"/>
      <c r="J30" s="263"/>
      <c r="K30" s="945"/>
      <c r="L30" s="945"/>
      <c r="AJ30" s="924"/>
      <c r="AK30" s="914"/>
      <c r="AL30" s="1"/>
      <c r="AM30" s="918"/>
      <c r="AN30" s="925"/>
      <c r="AO30" s="925"/>
      <c r="AQ30" s="927"/>
      <c r="AR30" s="914"/>
      <c r="AS30" s="1"/>
      <c r="AT30" s="918"/>
      <c r="AU30" s="925"/>
      <c r="AV30" s="925"/>
    </row>
    <row r="31" spans="1:1023 1025:2047 2049:3071 3073:4095 4097:5119 5121:6143 6145:7167 7169:8191 8193:9215 9217:10239 10241:11263 11265:12287 12289:13311 13313:14335 14337:15359 15361:16383" ht="15.6" x14ac:dyDescent="0.3">
      <c r="F31" s="263"/>
      <c r="G31" s="1"/>
      <c r="H31" s="263"/>
      <c r="I31" s="263"/>
      <c r="J31" s="263"/>
      <c r="K31" s="945"/>
      <c r="L31" s="945"/>
      <c r="AJ31" s="924"/>
      <c r="AK31" s="914"/>
      <c r="AL31" s="1"/>
      <c r="AM31" s="918"/>
      <c r="AN31" s="925"/>
      <c r="AO31" s="925"/>
      <c r="AQ31" s="927"/>
      <c r="AR31" s="914"/>
      <c r="AS31" s="1"/>
      <c r="AT31" s="918"/>
      <c r="AU31" s="925"/>
      <c r="AV31" s="925"/>
    </row>
    <row r="32" spans="1:1023 1025:2047 2049:3071 3073:4095 4097:5119 5121:6143 6145:7167 7169:8191 8193:9215 9217:10239 10241:11263 11265:12287 12289:13311 13313:14335 14337:15359 15361:16383" ht="15.6" x14ac:dyDescent="0.3">
      <c r="F32" s="263"/>
      <c r="G32" s="1"/>
      <c r="H32" s="263"/>
      <c r="I32" s="263"/>
      <c r="J32" s="263"/>
      <c r="K32" s="945"/>
      <c r="L32" s="945"/>
      <c r="AJ32" s="924"/>
      <c r="AK32" s="914"/>
      <c r="AL32" s="1"/>
      <c r="AM32" s="918"/>
      <c r="AN32" s="925"/>
      <c r="AO32" s="925"/>
      <c r="AQ32" s="927"/>
      <c r="AR32" s="914"/>
      <c r="AS32" s="1"/>
      <c r="AT32" s="918"/>
      <c r="AU32" s="925"/>
      <c r="AV32" s="925"/>
    </row>
    <row r="33" spans="1:36" ht="15.6" x14ac:dyDescent="0.3">
      <c r="A33" s="8"/>
      <c r="B33" s="8"/>
      <c r="C33" s="8"/>
      <c r="D33" s="8"/>
      <c r="E33" s="8"/>
      <c r="F33" s="8"/>
      <c r="G33" s="8"/>
      <c r="X33" s="922"/>
      <c r="Y33" s="921"/>
      <c r="Z33" s="1"/>
      <c r="AA33" s="919"/>
      <c r="AB33" s="923"/>
      <c r="AC33" s="923"/>
      <c r="AE33" s="934"/>
      <c r="AF33" s="921"/>
      <c r="AG33" s="1"/>
      <c r="AH33" s="918"/>
      <c r="AI33" s="923"/>
      <c r="AJ33" s="923"/>
    </row>
    <row r="34" spans="1:36" ht="15.6" x14ac:dyDescent="0.3">
      <c r="A34" s="8"/>
      <c r="B34" s="990"/>
      <c r="C34" s="8"/>
      <c r="D34" s="991"/>
      <c r="E34" s="941"/>
      <c r="F34" s="941"/>
      <c r="G34" s="941"/>
      <c r="H34" s="135"/>
      <c r="I34" s="135"/>
      <c r="X34" s="924"/>
      <c r="Y34" s="921"/>
      <c r="Z34" s="1"/>
      <c r="AA34" s="919"/>
      <c r="AB34" s="925"/>
      <c r="AC34" s="925"/>
      <c r="AE34" s="927"/>
      <c r="AF34" s="921"/>
      <c r="AG34" s="1"/>
      <c r="AH34" s="918"/>
      <c r="AI34" s="925"/>
      <c r="AJ34" s="925"/>
    </row>
    <row r="35" spans="1:36" ht="21" x14ac:dyDescent="0.4">
      <c r="A35" s="938"/>
      <c r="B35" s="264"/>
      <c r="C35" s="939"/>
      <c r="D35" s="939"/>
      <c r="E35" s="264"/>
      <c r="F35" s="940"/>
      <c r="G35" s="264"/>
      <c r="H35" s="941"/>
      <c r="I35" s="942"/>
      <c r="X35" s="922"/>
      <c r="Y35" s="926"/>
      <c r="Z35" s="1"/>
      <c r="AA35" s="918"/>
      <c r="AB35" s="64"/>
      <c r="AC35" s="923"/>
      <c r="AE35" s="934"/>
      <c r="AF35" s="926"/>
      <c r="AG35" s="1"/>
      <c r="AH35" s="918"/>
      <c r="AI35" s="64"/>
      <c r="AJ35" s="923"/>
    </row>
    <row r="36" spans="1:36" ht="15.6" x14ac:dyDescent="0.3">
      <c r="B36" s="1"/>
      <c r="E36" s="1"/>
      <c r="F36" s="135"/>
      <c r="G36" s="1"/>
      <c r="H36" s="135"/>
      <c r="I36" s="943"/>
      <c r="J36" s="55"/>
      <c r="X36" s="924"/>
      <c r="Y36" s="914"/>
      <c r="Z36" s="1"/>
      <c r="AA36" s="918"/>
      <c r="AB36" s="923"/>
      <c r="AC36" s="923"/>
      <c r="AE36" s="927"/>
      <c r="AF36" s="914"/>
      <c r="AG36" s="1"/>
      <c r="AH36" s="918"/>
      <c r="AI36" s="923"/>
      <c r="AJ36" s="923"/>
    </row>
    <row r="37" spans="1:36" ht="15.6" x14ac:dyDescent="0.3">
      <c r="B37" s="263"/>
      <c r="E37" s="135"/>
      <c r="F37" s="135"/>
      <c r="G37" s="135"/>
      <c r="H37" s="135"/>
      <c r="I37" s="944"/>
      <c r="J37" s="55"/>
      <c r="X37" s="922"/>
      <c r="Y37" s="921"/>
      <c r="Z37" s="1"/>
      <c r="AA37" s="919"/>
      <c r="AB37" s="923"/>
      <c r="AC37" s="923"/>
      <c r="AE37" s="934"/>
      <c r="AF37" s="921"/>
      <c r="AG37" s="1"/>
      <c r="AH37" s="918"/>
      <c r="AI37" s="64"/>
      <c r="AJ37" s="923"/>
    </row>
    <row r="38" spans="1:36" ht="15.6" x14ac:dyDescent="0.3">
      <c r="B38" s="263"/>
      <c r="E38" s="135"/>
      <c r="F38" s="135"/>
      <c r="G38" s="135"/>
      <c r="H38" s="135"/>
      <c r="I38" s="941"/>
      <c r="J38" s="55"/>
      <c r="X38" s="924"/>
      <c r="Y38" s="914"/>
      <c r="Z38" s="1"/>
      <c r="AA38" s="919"/>
      <c r="AB38" s="925"/>
      <c r="AC38" s="925"/>
      <c r="AE38" s="927"/>
      <c r="AF38" s="914"/>
      <c r="AG38" s="1"/>
      <c r="AH38" s="918"/>
      <c r="AI38" s="925"/>
      <c r="AJ38" s="925"/>
    </row>
    <row r="39" spans="1:36" ht="15.6" x14ac:dyDescent="0.3">
      <c r="B39" s="263"/>
      <c r="E39" s="135"/>
      <c r="F39" s="135"/>
      <c r="G39" s="135"/>
      <c r="H39" s="135"/>
      <c r="I39" s="945"/>
      <c r="X39" s="922"/>
      <c r="Y39" s="921"/>
      <c r="Z39" s="1"/>
      <c r="AA39" s="918"/>
      <c r="AB39" s="64"/>
      <c r="AC39" s="923"/>
      <c r="AE39" s="934"/>
      <c r="AF39" s="921"/>
      <c r="AG39" s="1"/>
      <c r="AH39" s="918"/>
      <c r="AI39" s="64"/>
      <c r="AJ39" s="923"/>
    </row>
    <row r="40" spans="1:36" ht="15.6" x14ac:dyDescent="0.3">
      <c r="B40" s="263"/>
      <c r="E40" s="135"/>
      <c r="F40" s="135"/>
      <c r="G40" s="135"/>
      <c r="H40" s="135"/>
      <c r="I40" s="1"/>
      <c r="X40" s="922"/>
      <c r="Y40" s="921"/>
      <c r="Z40" s="1"/>
      <c r="AA40" s="918"/>
      <c r="AB40" s="925"/>
      <c r="AC40" s="925"/>
      <c r="AE40" s="934"/>
      <c r="AF40" s="921"/>
      <c r="AG40" s="1"/>
      <c r="AH40" s="918"/>
      <c r="AI40" s="925"/>
      <c r="AJ40" s="925"/>
    </row>
    <row r="41" spans="1:36" ht="15.6" x14ac:dyDescent="0.3">
      <c r="B41" s="263"/>
      <c r="E41" s="135"/>
      <c r="F41" s="135"/>
      <c r="G41" s="135"/>
      <c r="H41" s="135"/>
      <c r="I41" s="1"/>
      <c r="J41" s="1"/>
      <c r="X41" s="922"/>
      <c r="Y41" s="921"/>
      <c r="Z41" s="1"/>
      <c r="AA41" s="919"/>
      <c r="AB41" s="923"/>
      <c r="AC41" s="923"/>
      <c r="AE41" s="934"/>
      <c r="AF41" s="921"/>
      <c r="AG41" s="1"/>
      <c r="AH41" s="918"/>
      <c r="AI41" s="64"/>
      <c r="AJ41" s="923"/>
    </row>
    <row r="42" spans="1:36" ht="15.6" x14ac:dyDescent="0.3">
      <c r="B42" s="263"/>
      <c r="E42" s="135"/>
      <c r="F42" s="135"/>
      <c r="G42" s="135"/>
      <c r="H42" s="135"/>
      <c r="I42" s="1"/>
      <c r="J42" s="1"/>
      <c r="X42" s="924"/>
      <c r="Y42" s="921"/>
      <c r="Z42" s="1"/>
      <c r="AA42" s="919"/>
      <c r="AB42" s="923"/>
      <c r="AC42" s="923"/>
      <c r="AE42" s="927"/>
      <c r="AF42" s="921"/>
      <c r="AG42" s="1"/>
      <c r="AH42" s="918"/>
      <c r="AI42" s="923"/>
      <c r="AJ42" s="923"/>
    </row>
    <row r="43" spans="1:36" ht="15.6" x14ac:dyDescent="0.3">
      <c r="B43" s="263"/>
      <c r="E43" s="135"/>
      <c r="F43" s="135"/>
      <c r="G43" s="135"/>
      <c r="H43" s="135"/>
      <c r="J43" s="1"/>
      <c r="X43" s="922"/>
      <c r="Y43" s="921"/>
      <c r="Z43" s="1"/>
      <c r="AA43" s="919"/>
      <c r="AB43" s="925"/>
      <c r="AC43" s="923"/>
      <c r="AE43" s="934"/>
      <c r="AF43" s="921"/>
      <c r="AG43" s="1"/>
      <c r="AH43" s="918"/>
      <c r="AI43" s="64"/>
      <c r="AJ43" s="923"/>
    </row>
    <row r="44" spans="1:36" ht="15.6" x14ac:dyDescent="0.3">
      <c r="B44" s="263"/>
      <c r="E44" s="135"/>
      <c r="F44" s="135"/>
      <c r="G44" s="135"/>
      <c r="H44" s="135"/>
      <c r="J44" s="1"/>
      <c r="X44" s="924"/>
      <c r="Y44" s="921"/>
      <c r="Z44" s="1"/>
      <c r="AA44" s="919"/>
      <c r="AB44" s="923"/>
      <c r="AC44" s="923"/>
      <c r="AE44" s="927"/>
      <c r="AF44" s="921"/>
      <c r="AG44" s="1"/>
      <c r="AH44" s="918"/>
      <c r="AI44" s="923"/>
      <c r="AJ44" s="923"/>
    </row>
    <row r="45" spans="1:36" ht="15.6" x14ac:dyDescent="0.3">
      <c r="B45" s="946"/>
      <c r="C45" s="910"/>
      <c r="D45" s="910"/>
      <c r="E45" s="135"/>
      <c r="F45" s="135"/>
      <c r="G45" s="135"/>
      <c r="H45" s="135"/>
      <c r="I45" s="947"/>
      <c r="J45" s="1"/>
      <c r="K45" s="948"/>
      <c r="L45" s="949"/>
      <c r="X45" s="922"/>
      <c r="Y45" s="921"/>
      <c r="Z45" s="1"/>
      <c r="AA45" s="919"/>
      <c r="AB45" s="923"/>
      <c r="AC45" s="923"/>
      <c r="AE45" s="934"/>
      <c r="AF45" s="921"/>
      <c r="AG45" s="1"/>
      <c r="AH45" s="918"/>
      <c r="AI45" s="923"/>
      <c r="AJ45" s="923"/>
    </row>
    <row r="46" spans="1:36" ht="15.6" x14ac:dyDescent="0.3">
      <c r="B46" s="946"/>
      <c r="C46" s="910"/>
      <c r="D46" s="910"/>
      <c r="E46" s="135"/>
      <c r="F46" s="135"/>
      <c r="G46" s="135"/>
      <c r="H46" s="135"/>
      <c r="I46" s="947"/>
      <c r="J46" s="1"/>
      <c r="K46" s="1"/>
      <c r="L46" s="1"/>
      <c r="X46" s="924"/>
      <c r="Y46" s="921"/>
      <c r="Z46" s="1"/>
      <c r="AA46" s="919"/>
      <c r="AB46" s="925"/>
      <c r="AC46" s="925"/>
      <c r="AE46" s="927"/>
      <c r="AF46" s="921"/>
      <c r="AG46" s="1"/>
      <c r="AH46" s="918"/>
      <c r="AI46" s="925"/>
      <c r="AJ46" s="925"/>
    </row>
    <row r="47" spans="1:36" ht="15.6" x14ac:dyDescent="0.3">
      <c r="B47" s="951"/>
      <c r="C47" s="910"/>
      <c r="D47" s="910"/>
      <c r="E47" s="1"/>
      <c r="F47" s="135"/>
      <c r="G47" s="1"/>
      <c r="H47" s="135"/>
      <c r="I47" s="947"/>
      <c r="J47" s="1"/>
      <c r="L47" s="952"/>
      <c r="X47" s="922"/>
      <c r="Y47" s="921"/>
      <c r="Z47" s="1"/>
      <c r="AA47" s="919"/>
      <c r="AB47" s="925"/>
      <c r="AC47" s="923"/>
      <c r="AE47" s="934"/>
      <c r="AF47" s="921"/>
      <c r="AG47" s="5"/>
      <c r="AH47" s="918"/>
      <c r="AI47" s="64"/>
      <c r="AJ47" s="923"/>
    </row>
    <row r="48" spans="1:36" ht="15.6" x14ac:dyDescent="0.3">
      <c r="A48" s="950"/>
      <c r="B48" s="953"/>
      <c r="C48" s="954"/>
      <c r="D48" s="954"/>
      <c r="E48" s="264"/>
      <c r="F48" s="940"/>
      <c r="G48" s="264"/>
      <c r="H48" s="955"/>
      <c r="J48" s="956"/>
      <c r="L48" s="1"/>
      <c r="X48" s="924"/>
      <c r="Y48" s="921"/>
      <c r="Z48" s="1"/>
      <c r="AA48" s="919"/>
      <c r="AB48" s="925"/>
      <c r="AC48" s="925"/>
      <c r="AE48" s="927"/>
      <c r="AF48" s="921"/>
      <c r="AG48" s="1"/>
      <c r="AH48" s="918"/>
      <c r="AI48" s="925"/>
      <c r="AJ48" s="925"/>
    </row>
    <row r="49" spans="2:36" ht="15.6" x14ac:dyDescent="0.3">
      <c r="B49" s="957"/>
      <c r="E49" s="135"/>
      <c r="F49" s="135"/>
      <c r="G49" s="135"/>
      <c r="H49" s="958"/>
      <c r="I49" s="65"/>
      <c r="J49" s="919"/>
      <c r="K49" s="919"/>
      <c r="L49" s="919"/>
      <c r="X49" s="922"/>
      <c r="Y49" s="921"/>
      <c r="Z49" s="1"/>
      <c r="AA49" s="919"/>
      <c r="AB49" s="923"/>
      <c r="AC49" s="923"/>
      <c r="AE49" s="934"/>
      <c r="AF49" s="921"/>
      <c r="AG49" s="1"/>
      <c r="AH49" s="918"/>
      <c r="AI49" s="923"/>
      <c r="AJ49" s="923"/>
    </row>
    <row r="50" spans="2:36" ht="15.6" x14ac:dyDescent="0.3">
      <c r="B50" s="959"/>
      <c r="E50" s="135"/>
      <c r="F50" s="135"/>
      <c r="G50" s="135"/>
      <c r="H50" s="958"/>
      <c r="I50" s="65"/>
      <c r="J50" s="919"/>
      <c r="K50" s="919"/>
      <c r="L50" s="919"/>
      <c r="X50" s="924"/>
      <c r="Y50" s="921"/>
      <c r="Z50" s="1"/>
      <c r="AA50" s="919"/>
      <c r="AB50" s="925"/>
      <c r="AC50" s="925"/>
      <c r="AE50" s="927"/>
      <c r="AF50" s="921"/>
      <c r="AG50" s="1"/>
      <c r="AH50" s="918"/>
      <c r="AI50" s="925"/>
      <c r="AJ50" s="925"/>
    </row>
    <row r="51" spans="2:36" ht="15.6" x14ac:dyDescent="0.3">
      <c r="B51" s="959"/>
      <c r="E51" s="135"/>
      <c r="F51" s="135"/>
      <c r="G51" s="135"/>
      <c r="H51" s="958"/>
      <c r="I51" s="65"/>
      <c r="J51" s="919"/>
      <c r="K51" s="919"/>
      <c r="L51" s="919"/>
      <c r="X51" s="922"/>
      <c r="Y51" s="921"/>
      <c r="Z51" s="1"/>
      <c r="AA51" s="918"/>
      <c r="AB51" s="64"/>
      <c r="AC51" s="923"/>
      <c r="AE51" s="934"/>
      <c r="AF51" s="921"/>
      <c r="AG51" s="1"/>
      <c r="AH51" s="918"/>
      <c r="AI51" s="64"/>
      <c r="AJ51" s="923"/>
    </row>
    <row r="52" spans="2:36" ht="15.6" x14ac:dyDescent="0.3">
      <c r="B52" s="960"/>
      <c r="E52" s="135"/>
      <c r="F52" s="135"/>
      <c r="G52" s="135"/>
      <c r="H52" s="958"/>
      <c r="I52" s="65"/>
      <c r="J52" s="919"/>
      <c r="K52" s="919"/>
      <c r="L52" s="919"/>
      <c r="X52" s="927"/>
      <c r="Y52" s="926"/>
      <c r="Z52" s="1"/>
      <c r="AA52" s="918"/>
      <c r="AB52" s="925"/>
      <c r="AC52" s="925"/>
      <c r="AE52" s="927"/>
      <c r="AF52" s="926"/>
      <c r="AG52" s="1"/>
      <c r="AH52" s="918"/>
      <c r="AI52" s="925"/>
      <c r="AJ52" s="925"/>
    </row>
    <row r="53" spans="2:36" ht="15.6" x14ac:dyDescent="0.3">
      <c r="B53" s="961"/>
      <c r="E53" s="135"/>
      <c r="F53" s="135"/>
      <c r="G53" s="135"/>
      <c r="H53" s="958"/>
      <c r="I53" s="65"/>
      <c r="J53" s="919"/>
      <c r="K53" s="919"/>
      <c r="L53" s="919"/>
      <c r="Y53" s="1"/>
      <c r="Z53" s="928"/>
      <c r="AA53" s="190"/>
      <c r="AB53" s="923"/>
      <c r="AC53" s="129"/>
      <c r="AE53" s="934"/>
      <c r="AF53" s="921"/>
      <c r="AG53" s="1"/>
      <c r="AH53" s="918"/>
      <c r="AI53" s="64"/>
      <c r="AJ53" s="129"/>
    </row>
    <row r="54" spans="2:36" ht="15.6" x14ac:dyDescent="0.3">
      <c r="B54" s="961"/>
      <c r="E54" s="135"/>
      <c r="F54" s="135"/>
      <c r="G54" s="135"/>
      <c r="H54" s="958"/>
      <c r="I54" s="65"/>
      <c r="J54" s="919"/>
      <c r="K54" s="919"/>
      <c r="L54" s="919"/>
      <c r="Y54" s="1"/>
      <c r="Z54" s="928"/>
      <c r="AA54" s="190"/>
      <c r="AB54" s="129"/>
      <c r="AC54" s="129"/>
      <c r="AF54" s="921"/>
      <c r="AG54" s="1"/>
      <c r="AH54" s="918"/>
      <c r="AI54" s="129"/>
      <c r="AJ54" s="129"/>
    </row>
    <row r="55" spans="2:36" ht="15.6" x14ac:dyDescent="0.3">
      <c r="B55" s="961"/>
      <c r="E55" s="135"/>
      <c r="F55" s="135"/>
      <c r="G55" s="135"/>
      <c r="H55" s="958"/>
      <c r="I55" s="65"/>
      <c r="J55" s="919"/>
      <c r="K55" s="919"/>
      <c r="L55" s="919"/>
      <c r="Y55" s="1"/>
      <c r="Z55" s="928"/>
      <c r="AA55" s="190"/>
      <c r="AB55" s="923"/>
      <c r="AC55" s="923"/>
      <c r="AF55" s="926"/>
      <c r="AG55" s="1"/>
      <c r="AH55" s="918"/>
      <c r="AI55" s="64"/>
      <c r="AJ55" s="923"/>
    </row>
    <row r="56" spans="2:36" ht="13.8" x14ac:dyDescent="0.25">
      <c r="B56" s="957"/>
      <c r="E56" s="135"/>
      <c r="F56" s="135"/>
      <c r="G56" s="135"/>
      <c r="H56" s="958"/>
      <c r="I56" s="65"/>
      <c r="J56" s="919"/>
      <c r="K56" s="919"/>
      <c r="L56" s="919"/>
      <c r="Y56" s="1"/>
      <c r="Z56" s="928"/>
      <c r="AA56" s="190"/>
      <c r="AB56" s="129"/>
      <c r="AC56" s="129"/>
      <c r="AF56" s="1"/>
      <c r="AG56" s="1"/>
      <c r="AH56" s="918"/>
      <c r="AI56" s="129"/>
      <c r="AJ56" s="129"/>
    </row>
    <row r="57" spans="2:36" ht="15.6" x14ac:dyDescent="0.3">
      <c r="B57" s="959"/>
      <c r="E57" s="135"/>
      <c r="F57" s="135"/>
      <c r="G57" s="135"/>
      <c r="H57" s="958"/>
      <c r="I57" s="65"/>
      <c r="J57" s="919"/>
      <c r="K57" s="919"/>
      <c r="L57" s="919"/>
      <c r="Y57" s="1"/>
      <c r="Z57" s="928"/>
      <c r="AA57" s="190"/>
      <c r="AB57" s="923"/>
      <c r="AC57" s="129"/>
      <c r="AE57" s="934"/>
      <c r="AF57" s="921"/>
      <c r="AG57" s="1"/>
      <c r="AH57" s="190"/>
      <c r="AI57" s="923"/>
      <c r="AJ57" s="129"/>
    </row>
    <row r="58" spans="2:36" ht="15.6" x14ac:dyDescent="0.3">
      <c r="B58" s="961"/>
      <c r="E58" s="135"/>
      <c r="F58" s="135"/>
      <c r="G58" s="135"/>
      <c r="H58" s="958"/>
      <c r="I58" s="65"/>
      <c r="J58" s="919"/>
      <c r="K58" s="919"/>
      <c r="L58" s="919"/>
      <c r="Y58" s="1"/>
      <c r="Z58" s="5"/>
      <c r="AA58" s="5"/>
      <c r="AB58" s="65"/>
      <c r="AC58" s="65"/>
      <c r="AF58" s="921"/>
      <c r="AG58" s="1"/>
      <c r="AH58" s="190"/>
      <c r="AI58" s="129"/>
      <c r="AJ58" s="129"/>
    </row>
    <row r="59" spans="2:36" ht="15.6" x14ac:dyDescent="0.3">
      <c r="B59" s="961"/>
      <c r="E59" s="135"/>
      <c r="F59" s="135"/>
      <c r="G59" s="135"/>
      <c r="H59" s="958"/>
      <c r="I59" s="65"/>
      <c r="J59" s="919"/>
      <c r="K59" s="919"/>
      <c r="L59" s="919"/>
      <c r="Y59" s="1"/>
      <c r="Z59" s="929"/>
      <c r="AA59" s="930"/>
      <c r="AB59" s="931"/>
      <c r="AC59" s="931"/>
      <c r="AF59" s="926"/>
      <c r="AG59" s="1"/>
      <c r="AH59" s="190"/>
      <c r="AI59" s="925"/>
      <c r="AJ59" s="923"/>
    </row>
    <row r="60" spans="2:36" ht="13.8" x14ac:dyDescent="0.25">
      <c r="B60" s="947"/>
      <c r="E60" s="135"/>
      <c r="F60" s="135"/>
      <c r="G60" s="135"/>
      <c r="H60" s="958"/>
      <c r="J60" s="919"/>
      <c r="K60" s="919"/>
      <c r="L60" s="919"/>
      <c r="Y60" s="1"/>
      <c r="Z60" s="51"/>
      <c r="AA60" s="932"/>
      <c r="AB60" s="164"/>
      <c r="AC60" s="164"/>
      <c r="AF60" s="1"/>
      <c r="AG60" s="1"/>
      <c r="AH60" s="190"/>
      <c r="AI60" s="129"/>
      <c r="AJ60" s="129"/>
    </row>
    <row r="61" spans="2:36" ht="15.6" x14ac:dyDescent="0.3">
      <c r="B61" s="947"/>
      <c r="E61" s="135"/>
      <c r="F61" s="135"/>
      <c r="G61" s="135"/>
      <c r="H61" s="958"/>
      <c r="J61" s="919"/>
      <c r="K61" s="919"/>
      <c r="L61" s="919"/>
      <c r="Y61" s="1"/>
      <c r="Z61" s="992"/>
      <c r="AA61" s="932"/>
      <c r="AB61" s="933"/>
      <c r="AC61" s="164"/>
      <c r="AE61" s="934"/>
      <c r="AF61" s="921"/>
      <c r="AG61" s="1"/>
      <c r="AH61" s="190"/>
      <c r="AI61" s="923"/>
      <c r="AJ61" s="129"/>
    </row>
    <row r="62" spans="2:36" ht="15.6" x14ac:dyDescent="0.3">
      <c r="B62" s="947"/>
      <c r="E62" s="135"/>
      <c r="F62" s="135"/>
      <c r="G62" s="135"/>
      <c r="H62" s="958"/>
      <c r="J62" s="919"/>
      <c r="K62" s="919"/>
      <c r="L62" s="919"/>
      <c r="Y62" s="1"/>
      <c r="Z62" s="51"/>
      <c r="AA62" s="932"/>
      <c r="AB62" s="164"/>
      <c r="AC62" s="164"/>
      <c r="AF62" s="921"/>
      <c r="AG62" s="1"/>
      <c r="AH62" s="190"/>
      <c r="AI62" s="129"/>
      <c r="AJ62" s="129"/>
    </row>
    <row r="63" spans="2:36" ht="15.6" x14ac:dyDescent="0.3">
      <c r="B63" s="962"/>
      <c r="E63" s="135"/>
      <c r="F63" s="135"/>
      <c r="G63" s="135"/>
      <c r="H63" s="958"/>
      <c r="J63" s="919"/>
      <c r="K63" s="919"/>
      <c r="L63" s="919"/>
      <c r="Y63" s="1"/>
      <c r="Z63" s="51"/>
      <c r="AA63" s="932"/>
      <c r="AB63" s="933"/>
      <c r="AC63" s="933"/>
      <c r="AF63" s="926"/>
      <c r="AG63" s="1"/>
      <c r="AH63" s="190"/>
      <c r="AI63" s="925"/>
      <c r="AJ63" s="923"/>
    </row>
    <row r="64" spans="2:36" ht="13.8" x14ac:dyDescent="0.25">
      <c r="B64" s="962"/>
      <c r="E64" s="135"/>
      <c r="F64" s="135"/>
      <c r="G64" s="135"/>
      <c r="H64" s="958"/>
      <c r="J64" s="919"/>
      <c r="K64" s="919"/>
      <c r="L64" s="919"/>
      <c r="Y64" s="1"/>
      <c r="Z64" s="933"/>
      <c r="AA64" s="932"/>
      <c r="AB64" s="164"/>
      <c r="AC64" s="164"/>
      <c r="AF64" s="1"/>
      <c r="AG64" s="1"/>
      <c r="AH64" s="190"/>
      <c r="AI64" s="129"/>
      <c r="AJ64" s="129"/>
    </row>
    <row r="65" spans="2:36" ht="13.8" x14ac:dyDescent="0.25">
      <c r="B65" s="962"/>
      <c r="E65" s="135"/>
      <c r="F65" s="135"/>
      <c r="G65" s="135"/>
      <c r="H65" s="958"/>
      <c r="J65" s="919"/>
      <c r="K65" s="919"/>
      <c r="L65" s="919"/>
      <c r="Y65" s="1"/>
      <c r="Z65" s="51"/>
      <c r="AA65" s="932"/>
      <c r="AB65" s="164"/>
      <c r="AC65" s="164"/>
      <c r="AF65" s="1"/>
      <c r="AG65" s="928"/>
      <c r="AH65" s="190"/>
      <c r="AI65" s="129"/>
      <c r="AJ65" s="129"/>
    </row>
    <row r="66" spans="2:36" ht="13.8" x14ac:dyDescent="0.25">
      <c r="B66" s="962"/>
      <c r="E66" s="135"/>
      <c r="F66" s="135"/>
      <c r="G66" s="135"/>
      <c r="H66" s="958"/>
      <c r="J66" s="919"/>
      <c r="K66" s="919"/>
      <c r="L66" s="919"/>
      <c r="Y66" s="1"/>
      <c r="Z66" s="51"/>
      <c r="AA66" s="932"/>
      <c r="AB66" s="164"/>
      <c r="AC66" s="164"/>
      <c r="AF66" s="1"/>
      <c r="AG66" s="928"/>
      <c r="AH66" s="190"/>
      <c r="AI66" s="129"/>
      <c r="AJ66" s="129"/>
    </row>
    <row r="67" spans="2:36" ht="13.8" x14ac:dyDescent="0.25">
      <c r="B67" s="962"/>
      <c r="E67" s="135"/>
      <c r="F67" s="135"/>
      <c r="G67" s="135"/>
      <c r="H67" s="958"/>
      <c r="I67" s="55"/>
      <c r="J67" s="919"/>
      <c r="K67" s="919"/>
      <c r="L67" s="919"/>
      <c r="Y67" s="1"/>
      <c r="Z67" s="933"/>
      <c r="AA67" s="932"/>
      <c r="AB67" s="164"/>
      <c r="AC67" s="164"/>
      <c r="AF67" s="1"/>
      <c r="AG67" s="928"/>
      <c r="AH67" s="190"/>
      <c r="AI67" s="129"/>
      <c r="AJ67" s="129"/>
    </row>
    <row r="68" spans="2:36" ht="13.8" x14ac:dyDescent="0.25">
      <c r="B68" s="962"/>
      <c r="E68" s="135"/>
      <c r="F68" s="135"/>
      <c r="G68" s="135"/>
      <c r="H68" s="958"/>
      <c r="J68" s="919"/>
      <c r="K68" s="919"/>
      <c r="L68" s="919"/>
      <c r="Y68" s="1"/>
      <c r="Z68" s="51"/>
      <c r="AA68" s="932"/>
      <c r="AB68" s="164"/>
      <c r="AC68" s="164"/>
      <c r="AF68" s="1"/>
      <c r="AG68" s="928"/>
      <c r="AH68" s="190"/>
      <c r="AI68" s="129"/>
      <c r="AJ68" s="129"/>
    </row>
    <row r="69" spans="2:36" ht="13.8" x14ac:dyDescent="0.25">
      <c r="B69" s="963"/>
      <c r="E69" s="135"/>
      <c r="F69" s="135"/>
      <c r="G69" s="135"/>
      <c r="H69" s="958"/>
      <c r="J69" s="919"/>
      <c r="K69" s="919"/>
      <c r="L69" s="919"/>
      <c r="Y69" s="1"/>
      <c r="Z69" s="51"/>
      <c r="AA69" s="932"/>
      <c r="AB69" s="164"/>
      <c r="AC69" s="164"/>
      <c r="AF69" s="1"/>
      <c r="AG69" s="928"/>
      <c r="AH69" s="190"/>
      <c r="AI69" s="129"/>
      <c r="AJ69" s="129"/>
    </row>
    <row r="70" spans="2:36" ht="13.8" x14ac:dyDescent="0.25">
      <c r="B70" s="963"/>
      <c r="E70" s="135"/>
      <c r="F70" s="135"/>
      <c r="G70" s="135"/>
      <c r="H70" s="958"/>
      <c r="J70" s="919"/>
      <c r="K70" s="919"/>
      <c r="L70" s="919"/>
      <c r="Y70" s="1"/>
      <c r="Z70" s="51"/>
      <c r="AA70" s="932"/>
      <c r="AB70" s="164"/>
      <c r="AC70" s="164"/>
      <c r="AF70" s="1"/>
      <c r="AG70" s="928"/>
      <c r="AH70" s="190"/>
      <c r="AI70" s="129"/>
      <c r="AJ70" s="129"/>
    </row>
    <row r="71" spans="2:36" ht="15.6" x14ac:dyDescent="0.3">
      <c r="B71" s="963"/>
      <c r="E71" s="135"/>
      <c r="F71" s="135"/>
      <c r="G71" s="135"/>
      <c r="H71" s="958"/>
      <c r="J71" s="919"/>
      <c r="K71" s="919"/>
      <c r="L71" s="919"/>
      <c r="X71" s="934"/>
      <c r="Y71" s="926"/>
      <c r="Z71" s="928"/>
      <c r="AA71" s="920"/>
      <c r="AB71" s="923"/>
      <c r="AC71" s="923"/>
      <c r="AE71" s="934"/>
      <c r="AF71" s="926"/>
      <c r="AG71" s="5"/>
      <c r="AH71" s="5"/>
      <c r="AI71" s="935"/>
      <c r="AJ71" s="935"/>
    </row>
    <row r="72" spans="2:36" ht="15.6" x14ac:dyDescent="0.3">
      <c r="B72" s="963"/>
      <c r="E72" s="135"/>
      <c r="F72" s="135"/>
      <c r="G72" s="135"/>
      <c r="H72" s="958"/>
      <c r="J72" s="919"/>
      <c r="K72" s="919"/>
      <c r="L72" s="919"/>
      <c r="AE72" s="927"/>
      <c r="AF72" s="914"/>
      <c r="AG72" s="929"/>
      <c r="AH72" s="936"/>
      <c r="AI72" s="931"/>
      <c r="AJ72" s="931"/>
    </row>
    <row r="73" spans="2:36" ht="15.6" x14ac:dyDescent="0.25">
      <c r="B73" s="963"/>
      <c r="E73" s="135"/>
      <c r="F73" s="135"/>
      <c r="G73" s="135"/>
      <c r="H73" s="958"/>
      <c r="J73" s="919"/>
      <c r="K73" s="919"/>
      <c r="L73" s="919"/>
      <c r="AE73" s="934"/>
      <c r="AF73" s="926"/>
      <c r="AG73" s="51"/>
      <c r="AH73" s="932"/>
      <c r="AI73" s="933"/>
      <c r="AJ73" s="933"/>
    </row>
    <row r="74" spans="2:36" ht="15.6" x14ac:dyDescent="0.3">
      <c r="AE74" s="50"/>
      <c r="AF74" s="914"/>
      <c r="AG74" s="51"/>
      <c r="AH74" s="937"/>
      <c r="AI74" s="933"/>
      <c r="AJ74" s="933"/>
    </row>
    <row r="75" spans="2:36" ht="15.6" x14ac:dyDescent="0.25">
      <c r="AE75" s="934"/>
      <c r="AF75" s="926"/>
      <c r="AG75" s="51"/>
      <c r="AH75" s="937"/>
      <c r="AI75" s="933"/>
      <c r="AJ75" s="933"/>
    </row>
    <row r="76" spans="2:36" ht="15.6" x14ac:dyDescent="0.3">
      <c r="B76" s="917"/>
      <c r="C76" s="168"/>
      <c r="AE76" s="927"/>
      <c r="AF76" s="926"/>
      <c r="AG76" s="51"/>
      <c r="AH76" s="937"/>
      <c r="AI76" s="933"/>
      <c r="AJ76" s="933"/>
    </row>
    <row r="77" spans="2:36" ht="15.6" x14ac:dyDescent="0.25">
      <c r="B77" s="917"/>
      <c r="C77" s="168"/>
      <c r="AE77" s="934"/>
      <c r="AF77" s="926"/>
      <c r="AG77" s="51"/>
      <c r="AH77" s="937"/>
      <c r="AI77" s="933"/>
      <c r="AJ77" s="933"/>
    </row>
    <row r="78" spans="2:36" ht="15.6" x14ac:dyDescent="0.3">
      <c r="B78" s="65"/>
      <c r="C78" s="168"/>
      <c r="AE78" s="927"/>
      <c r="AF78" s="926"/>
      <c r="AG78" s="933"/>
      <c r="AH78" s="932"/>
      <c r="AI78" s="933"/>
      <c r="AJ78" s="933"/>
    </row>
    <row r="79" spans="2:36" ht="15.6" x14ac:dyDescent="0.25">
      <c r="B79" s="917"/>
      <c r="C79" s="168"/>
      <c r="AE79" s="934"/>
      <c r="AF79" s="926"/>
      <c r="AG79" s="933"/>
      <c r="AH79" s="932"/>
      <c r="AI79" s="933"/>
      <c r="AJ79" s="933"/>
    </row>
    <row r="80" spans="2:36" ht="15.6" x14ac:dyDescent="0.3">
      <c r="B80" s="917"/>
      <c r="C80" s="168"/>
      <c r="AE80" s="927"/>
      <c r="AF80" s="926"/>
      <c r="AG80" s="51"/>
      <c r="AH80" s="932"/>
      <c r="AI80" s="933"/>
      <c r="AJ80" s="933"/>
    </row>
    <row r="81" spans="2:36" ht="15.6" x14ac:dyDescent="0.25">
      <c r="B81" s="282"/>
      <c r="C81" s="168"/>
      <c r="AE81" s="934"/>
      <c r="AF81" s="926"/>
      <c r="AG81" s="51"/>
      <c r="AH81" s="932"/>
      <c r="AI81" s="933"/>
      <c r="AJ81" s="933"/>
    </row>
    <row r="82" spans="2:36" ht="15.6" x14ac:dyDescent="0.3">
      <c r="C82" s="262"/>
      <c r="AE82" s="927"/>
      <c r="AF82" s="926"/>
      <c r="AG82" s="51"/>
      <c r="AH82" s="932"/>
      <c r="AI82" s="933"/>
      <c r="AJ82" s="933"/>
    </row>
    <row r="83" spans="2:36" ht="15.6" x14ac:dyDescent="0.25">
      <c r="C83" s="262"/>
      <c r="AE83" s="934"/>
      <c r="AF83" s="926"/>
      <c r="AG83" s="51"/>
      <c r="AH83" s="932"/>
      <c r="AI83" s="933"/>
      <c r="AJ83" s="933"/>
    </row>
    <row r="84" spans="2:36" ht="15.6" x14ac:dyDescent="0.3">
      <c r="C84" s="262"/>
      <c r="AE84" s="927"/>
      <c r="AF84" s="926"/>
      <c r="AG84" s="51"/>
      <c r="AH84" s="932"/>
      <c r="AI84" s="933"/>
      <c r="AJ84" s="933"/>
    </row>
    <row r="85" spans="2:36" ht="15.6" x14ac:dyDescent="0.25">
      <c r="C85" s="262"/>
      <c r="AE85" s="934"/>
      <c r="AF85" s="926"/>
      <c r="AG85" s="51"/>
      <c r="AH85" s="932"/>
      <c r="AI85" s="933"/>
      <c r="AJ85" s="933"/>
    </row>
    <row r="86" spans="2:36" ht="15.6" x14ac:dyDescent="0.3">
      <c r="C86" s="262"/>
      <c r="D86" s="1011"/>
      <c r="E86" s="1011"/>
      <c r="F86" s="1011"/>
      <c r="G86" s="1011"/>
      <c r="AE86" s="927"/>
      <c r="AF86" s="926"/>
      <c r="AG86" s="51"/>
      <c r="AH86" s="932"/>
      <c r="AI86" s="933"/>
      <c r="AJ86" s="933"/>
    </row>
    <row r="87" spans="2:36" x14ac:dyDescent="0.25">
      <c r="C87" s="998"/>
      <c r="D87" s="947"/>
      <c r="E87" s="947"/>
      <c r="F87" s="947"/>
      <c r="G87" s="947"/>
    </row>
    <row r="88" spans="2:36" x14ac:dyDescent="0.25">
      <c r="C88" s="998"/>
      <c r="D88" s="947"/>
      <c r="E88" s="947"/>
      <c r="F88" s="947"/>
      <c r="G88" s="947"/>
    </row>
    <row r="89" spans="2:36" x14ac:dyDescent="0.25">
      <c r="C89" s="998"/>
      <c r="D89" s="947"/>
      <c r="E89" s="947"/>
      <c r="F89" s="947"/>
      <c r="G89" s="947"/>
    </row>
    <row r="90" spans="2:36" x14ac:dyDescent="0.25">
      <c r="C90" s="998"/>
      <c r="D90" s="947"/>
      <c r="E90" s="947"/>
      <c r="F90" s="947"/>
      <c r="G90" s="947"/>
    </row>
    <row r="91" spans="2:36" x14ac:dyDescent="0.25">
      <c r="C91" s="998"/>
      <c r="D91" s="947"/>
      <c r="E91" s="947"/>
      <c r="F91" s="947"/>
      <c r="G91" s="947"/>
    </row>
    <row r="92" spans="2:36" x14ac:dyDescent="0.25">
      <c r="C92" s="998"/>
      <c r="D92" s="947"/>
      <c r="E92" s="947"/>
      <c r="F92" s="947"/>
      <c r="G92" s="947"/>
    </row>
    <row r="93" spans="2:36" x14ac:dyDescent="0.25">
      <c r="C93" s="998"/>
      <c r="D93" s="947"/>
      <c r="E93" s="947"/>
      <c r="F93" s="947"/>
      <c r="G93" s="947"/>
    </row>
    <row r="94" spans="2:36" x14ac:dyDescent="0.25">
      <c r="C94" s="998"/>
      <c r="D94" s="947"/>
      <c r="E94" s="947"/>
      <c r="F94" s="947"/>
      <c r="G94" s="947"/>
    </row>
    <row r="95" spans="2:36" x14ac:dyDescent="0.25">
      <c r="C95" s="262"/>
    </row>
    <row r="96" spans="2:36" x14ac:dyDescent="0.25">
      <c r="C96" s="262"/>
      <c r="G96" s="262"/>
      <c r="I96" s="1"/>
    </row>
    <row r="97" spans="3:15" x14ac:dyDescent="0.25">
      <c r="C97" s="957"/>
      <c r="D97" s="514"/>
      <c r="E97" s="947"/>
      <c r="F97" s="947"/>
      <c r="J97" s="947"/>
      <c r="L97" s="957"/>
      <c r="M97" s="947"/>
      <c r="N97" s="960"/>
      <c r="O97" s="947"/>
    </row>
    <row r="98" spans="3:15" x14ac:dyDescent="0.25">
      <c r="C98" s="959"/>
      <c r="D98" s="514"/>
      <c r="E98" s="947"/>
      <c r="F98" s="947"/>
      <c r="J98" s="947"/>
      <c r="L98" s="959"/>
      <c r="M98" s="947"/>
      <c r="N98" s="961"/>
      <c r="O98" s="947"/>
    </row>
    <row r="99" spans="3:15" x14ac:dyDescent="0.25">
      <c r="C99" s="959"/>
      <c r="D99" s="514"/>
      <c r="E99" s="947"/>
      <c r="F99" s="947"/>
      <c r="J99" s="947"/>
      <c r="L99" s="959"/>
      <c r="M99" s="947"/>
      <c r="N99" s="961"/>
      <c r="O99" s="947"/>
    </row>
    <row r="100" spans="3:15" x14ac:dyDescent="0.25">
      <c r="C100" s="960"/>
      <c r="D100" s="514"/>
      <c r="E100" s="947"/>
      <c r="F100" s="947"/>
      <c r="J100" s="947"/>
      <c r="L100" s="961"/>
      <c r="M100" s="947"/>
      <c r="N100" s="959"/>
      <c r="O100" s="947"/>
    </row>
    <row r="101" spans="3:15" x14ac:dyDescent="0.25">
      <c r="C101" s="961"/>
      <c r="D101" s="514"/>
      <c r="E101" s="947"/>
      <c r="F101" s="947"/>
      <c r="J101" s="947"/>
      <c r="L101" s="957"/>
      <c r="M101" s="947"/>
      <c r="N101" s="961"/>
      <c r="O101" s="947"/>
    </row>
    <row r="102" spans="3:15" x14ac:dyDescent="0.25">
      <c r="C102" s="961"/>
      <c r="D102" s="514"/>
      <c r="E102" s="947"/>
      <c r="F102" s="947"/>
      <c r="J102" s="947"/>
      <c r="L102" s="947"/>
      <c r="M102" s="947"/>
      <c r="N102" s="961"/>
      <c r="O102" s="947"/>
    </row>
    <row r="103" spans="3:15" x14ac:dyDescent="0.25">
      <c r="C103" s="961"/>
      <c r="D103" s="514"/>
      <c r="E103" s="947"/>
      <c r="F103" s="947"/>
      <c r="J103" s="947"/>
      <c r="L103" s="962"/>
      <c r="M103" s="947"/>
      <c r="N103" s="947"/>
      <c r="O103" s="947"/>
    </row>
    <row r="104" spans="3:15" x14ac:dyDescent="0.25">
      <c r="C104" s="957"/>
      <c r="D104" s="514"/>
      <c r="E104" s="947"/>
      <c r="F104" s="947"/>
      <c r="J104" s="947"/>
      <c r="L104" s="962"/>
      <c r="M104" s="947"/>
      <c r="N104" s="947"/>
      <c r="O104" s="947"/>
    </row>
    <row r="105" spans="3:15" x14ac:dyDescent="0.25">
      <c r="C105" s="959"/>
      <c r="D105" s="514"/>
      <c r="E105" s="947"/>
      <c r="F105" s="947"/>
      <c r="J105" s="947"/>
      <c r="L105" s="962"/>
      <c r="M105" s="947"/>
      <c r="N105" s="962"/>
      <c r="O105" s="947"/>
    </row>
    <row r="106" spans="3:15" x14ac:dyDescent="0.25">
      <c r="C106" s="961"/>
      <c r="D106" s="514"/>
      <c r="E106" s="947"/>
      <c r="F106" s="947"/>
      <c r="J106" s="947"/>
      <c r="L106" s="962"/>
      <c r="M106" s="947"/>
      <c r="N106" s="963"/>
      <c r="O106" s="947"/>
    </row>
    <row r="107" spans="3:15" x14ac:dyDescent="0.25">
      <c r="C107" s="961"/>
      <c r="D107" s="514"/>
      <c r="E107" s="947"/>
      <c r="F107" s="947"/>
      <c r="J107" s="947"/>
      <c r="L107" s="962"/>
      <c r="M107" s="947"/>
      <c r="N107" s="963"/>
      <c r="O107" s="947"/>
    </row>
    <row r="108" spans="3:15" x14ac:dyDescent="0.25">
      <c r="C108" s="947"/>
      <c r="D108" s="514"/>
      <c r="E108" s="947"/>
      <c r="F108" s="947"/>
      <c r="J108" s="947"/>
      <c r="L108" s="963"/>
      <c r="M108" s="947"/>
      <c r="N108" s="963"/>
      <c r="O108" s="947"/>
    </row>
    <row r="109" spans="3:15" x14ac:dyDescent="0.25">
      <c r="C109" s="947"/>
      <c r="D109" s="514"/>
      <c r="E109" s="947"/>
      <c r="F109" s="947"/>
      <c r="J109" s="947"/>
      <c r="N109" s="963"/>
      <c r="O109" s="947"/>
    </row>
    <row r="110" spans="3:15" x14ac:dyDescent="0.25">
      <c r="C110" s="947"/>
      <c r="D110" s="514"/>
      <c r="E110" s="947"/>
      <c r="F110" s="947"/>
      <c r="J110" s="947"/>
    </row>
    <row r="111" spans="3:15" x14ac:dyDescent="0.25">
      <c r="C111" s="962"/>
      <c r="D111" s="514"/>
      <c r="E111" s="947"/>
      <c r="F111" s="947"/>
      <c r="J111" s="947"/>
    </row>
    <row r="112" spans="3:15" x14ac:dyDescent="0.25">
      <c r="C112" s="962"/>
      <c r="D112" s="514"/>
      <c r="E112" s="947"/>
      <c r="F112" s="947"/>
      <c r="J112" s="947"/>
    </row>
    <row r="113" spans="3:18" x14ac:dyDescent="0.25">
      <c r="C113" s="962"/>
      <c r="D113" s="514"/>
      <c r="E113" s="947"/>
      <c r="F113" s="947"/>
      <c r="J113" s="947"/>
    </row>
    <row r="114" spans="3:18" x14ac:dyDescent="0.25">
      <c r="C114" s="962"/>
      <c r="D114" s="514"/>
      <c r="E114" s="947"/>
      <c r="F114" s="947"/>
      <c r="J114" s="947"/>
    </row>
    <row r="115" spans="3:18" x14ac:dyDescent="0.25">
      <c r="C115" s="962"/>
      <c r="D115" s="514"/>
      <c r="E115" s="947"/>
      <c r="F115" s="947"/>
      <c r="J115" s="947"/>
      <c r="R115" s="64"/>
    </row>
    <row r="116" spans="3:18" x14ac:dyDescent="0.25">
      <c r="C116" s="962"/>
      <c r="D116" s="514"/>
      <c r="E116" s="947"/>
      <c r="F116" s="947"/>
      <c r="J116" s="947"/>
      <c r="R116" s="64"/>
    </row>
    <row r="117" spans="3:18" x14ac:dyDescent="0.25">
      <c r="C117" s="963"/>
      <c r="D117" s="514"/>
      <c r="E117" s="947"/>
      <c r="F117" s="947"/>
      <c r="J117" s="947"/>
      <c r="R117" s="64"/>
    </row>
    <row r="118" spans="3:18" x14ac:dyDescent="0.25">
      <c r="C118" s="963"/>
      <c r="D118" s="514"/>
      <c r="E118" s="947"/>
      <c r="F118" s="947"/>
      <c r="J118" s="947"/>
      <c r="R118" s="64"/>
    </row>
    <row r="119" spans="3:18" x14ac:dyDescent="0.25">
      <c r="C119" s="963"/>
      <c r="D119" s="514"/>
      <c r="E119" s="947"/>
      <c r="F119" s="947"/>
      <c r="J119" s="947"/>
      <c r="R119" s="64"/>
    </row>
    <row r="120" spans="3:18" x14ac:dyDescent="0.25">
      <c r="C120" s="963"/>
      <c r="D120" s="514"/>
      <c r="E120" s="947"/>
      <c r="F120" s="947"/>
      <c r="J120" s="947"/>
      <c r="R120" s="64"/>
    </row>
    <row r="121" spans="3:18" x14ac:dyDescent="0.25">
      <c r="C121" s="963"/>
      <c r="D121" s="514"/>
      <c r="E121" s="947"/>
      <c r="F121" s="947"/>
      <c r="J121" s="947"/>
      <c r="R121" s="64"/>
    </row>
    <row r="122" spans="3:18" x14ac:dyDescent="0.25">
      <c r="C122" s="262"/>
      <c r="R122" s="64"/>
    </row>
    <row r="123" spans="3:18" ht="15.6" x14ac:dyDescent="0.3">
      <c r="N123" s="922"/>
      <c r="O123" s="921"/>
      <c r="P123" s="1"/>
      <c r="Q123" s="918"/>
      <c r="R123" s="64"/>
    </row>
  </sheetData>
  <mergeCells count="1">
    <mergeCell ref="D86:G8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64"/>
  <sheetViews>
    <sheetView topLeftCell="B158" workbookViewId="0">
      <selection activeCell="K29" sqref="K29"/>
    </sheetView>
  </sheetViews>
  <sheetFormatPr defaultColWidth="9.21875" defaultRowHeight="10.199999999999999" x14ac:dyDescent="0.2"/>
  <cols>
    <col min="1" max="1" width="12.5546875" style="170" customWidth="1"/>
    <col min="2" max="2" width="9.21875" style="170"/>
    <col min="3" max="3" width="10.21875" style="170" bestFit="1" customWidth="1"/>
    <col min="4" max="4" width="16.21875" style="170" customWidth="1"/>
    <col min="5" max="9" width="9.21875" style="170"/>
    <col min="10" max="10" width="14.21875" style="170" customWidth="1"/>
    <col min="11" max="11" width="12.21875" style="170" customWidth="1"/>
    <col min="12" max="12" width="12" style="170" customWidth="1"/>
    <col min="13" max="13" width="10.21875" style="170" customWidth="1"/>
    <col min="14" max="14" width="10.77734375" style="170" customWidth="1"/>
    <col min="15" max="15" width="9.21875" style="170"/>
    <col min="16" max="16" width="7.5546875" style="170" customWidth="1"/>
    <col min="17" max="16384" width="9.21875" style="170"/>
  </cols>
  <sheetData>
    <row r="1" spans="1:21" ht="10.8" thickBot="1" x14ac:dyDescent="0.25">
      <c r="A1" s="197"/>
      <c r="O1" s="197"/>
    </row>
    <row r="2" spans="1:21" ht="15.75" customHeight="1" thickBot="1" x14ac:dyDescent="0.25">
      <c r="A2" s="198" t="s">
        <v>89</v>
      </c>
      <c r="C2" s="173" t="s">
        <v>90</v>
      </c>
      <c r="D2" s="173"/>
      <c r="E2" s="197"/>
      <c r="O2" s="197"/>
    </row>
    <row r="3" spans="1:21" ht="13.2" x14ac:dyDescent="0.25">
      <c r="A3" s="5" t="s">
        <v>94</v>
      </c>
      <c r="C3" s="199">
        <v>41670</v>
      </c>
      <c r="D3" s="173"/>
      <c r="E3" s="173"/>
      <c r="J3" s="200"/>
      <c r="O3" s="5"/>
    </row>
    <row r="5" spans="1:21" ht="13.8" thickBot="1" x14ac:dyDescent="0.3">
      <c r="A5" s="187"/>
      <c r="F5" s="187" t="s">
        <v>5</v>
      </c>
      <c r="G5" s="187" t="s">
        <v>6</v>
      </c>
      <c r="H5" s="187" t="s">
        <v>7</v>
      </c>
      <c r="I5" s="187"/>
      <c r="O5" s="187"/>
      <c r="P5" s="1"/>
      <c r="Q5" s="1"/>
    </row>
    <row r="6" spans="1:21" ht="13.2" x14ac:dyDescent="0.25">
      <c r="A6" s="170">
        <v>1.62</v>
      </c>
      <c r="B6" s="170">
        <v>400</v>
      </c>
      <c r="C6" s="201">
        <v>0.46600000000000003</v>
      </c>
      <c r="D6" s="229">
        <v>6308</v>
      </c>
      <c r="E6" s="202"/>
      <c r="F6" s="202"/>
      <c r="G6" s="202"/>
      <c r="H6" s="222"/>
      <c r="P6" s="1"/>
      <c r="Q6" s="1"/>
      <c r="R6" s="187"/>
      <c r="S6" s="187"/>
      <c r="T6" s="187"/>
      <c r="U6" s="203"/>
    </row>
    <row r="7" spans="1:21" ht="13.2" x14ac:dyDescent="0.25">
      <c r="A7" s="170">
        <v>1.869</v>
      </c>
      <c r="B7" s="170">
        <v>400</v>
      </c>
      <c r="C7" s="204">
        <v>0.38700000000000001</v>
      </c>
      <c r="D7" s="205" t="s">
        <v>95</v>
      </c>
      <c r="E7" s="206">
        <f>AVERAGE(C6:C8)</f>
        <v>0.42649999999999999</v>
      </c>
      <c r="F7" s="206">
        <f>231.92*E7 - 21.072</f>
        <v>77.841879999999989</v>
      </c>
      <c r="G7" s="206">
        <v>80.748989999999992</v>
      </c>
      <c r="H7" s="210">
        <f>AVERAGE(F7:G7)</f>
        <v>79.295434999999998</v>
      </c>
      <c r="P7" s="1"/>
      <c r="Q7" s="1"/>
      <c r="R7" s="187"/>
      <c r="S7" s="187"/>
      <c r="T7" s="187"/>
      <c r="U7" s="203"/>
    </row>
    <row r="8" spans="1:21" ht="13.2" x14ac:dyDescent="0.25">
      <c r="C8" s="204"/>
      <c r="D8" s="206"/>
      <c r="E8" s="206"/>
      <c r="F8" s="206"/>
      <c r="G8" s="206"/>
      <c r="H8" s="210"/>
      <c r="P8" s="1"/>
      <c r="Q8" s="1"/>
      <c r="R8" s="187"/>
      <c r="S8" s="187"/>
      <c r="T8" s="187"/>
      <c r="U8" s="203"/>
    </row>
    <row r="9" spans="1:21" ht="13.8" thickBot="1" x14ac:dyDescent="0.3">
      <c r="C9" s="204">
        <v>0.52800000000000002</v>
      </c>
      <c r="D9" s="208">
        <v>6575</v>
      </c>
      <c r="E9" s="206"/>
      <c r="F9" s="206"/>
      <c r="G9" s="206"/>
      <c r="H9" s="210"/>
      <c r="P9" s="1"/>
      <c r="Q9" s="1"/>
      <c r="R9" s="187"/>
      <c r="S9" s="187"/>
      <c r="T9" s="187"/>
      <c r="U9" s="203"/>
    </row>
    <row r="10" spans="1:21" ht="13.5" customHeight="1" thickBot="1" x14ac:dyDescent="0.3">
      <c r="A10" s="170">
        <v>1.036</v>
      </c>
      <c r="B10" s="170">
        <v>200</v>
      </c>
      <c r="C10" s="204">
        <v>0.42299999999999999</v>
      </c>
      <c r="D10" s="230" t="s">
        <v>91</v>
      </c>
      <c r="E10" s="206">
        <f>AVERAGE(C9:C11)</f>
        <v>0.47550000000000003</v>
      </c>
      <c r="F10" s="206">
        <f>231.92*E10 - 21.072</f>
        <v>89.205960000000005</v>
      </c>
      <c r="G10" s="206">
        <v>102.89979000000001</v>
      </c>
      <c r="H10" s="210">
        <f>AVERAGE(F10:G10)</f>
        <v>96.052875</v>
      </c>
      <c r="P10" s="1"/>
      <c r="Q10" s="1"/>
      <c r="R10" s="187"/>
      <c r="S10" s="187"/>
      <c r="T10" s="187"/>
      <c r="U10" s="203"/>
    </row>
    <row r="11" spans="1:21" ht="13.2" x14ac:dyDescent="0.25">
      <c r="A11" s="170">
        <v>1.042</v>
      </c>
      <c r="B11" s="170">
        <v>200</v>
      </c>
      <c r="C11" s="204"/>
      <c r="D11" s="207"/>
      <c r="E11" s="206"/>
      <c r="F11" s="206"/>
      <c r="G11" s="206"/>
      <c r="H11" s="210"/>
      <c r="P11" s="1"/>
      <c r="Q11" s="1"/>
      <c r="R11" s="187"/>
      <c r="S11" s="187"/>
      <c r="T11" s="187"/>
      <c r="U11" s="203"/>
    </row>
    <row r="12" spans="1:21" ht="13.8" thickBot="1" x14ac:dyDescent="0.3">
      <c r="C12" s="204">
        <v>0.64900000000000002</v>
      </c>
      <c r="D12" s="208">
        <v>6303</v>
      </c>
      <c r="E12" s="206"/>
      <c r="F12" s="206"/>
      <c r="G12" s="206"/>
      <c r="H12" s="210"/>
      <c r="P12" s="1"/>
      <c r="Q12" s="1"/>
      <c r="R12" s="187"/>
      <c r="S12" s="187"/>
      <c r="T12" s="187"/>
      <c r="U12" s="203"/>
    </row>
    <row r="13" spans="1:21" ht="13.8" thickBot="1" x14ac:dyDescent="0.3">
      <c r="C13" s="204">
        <v>0.499</v>
      </c>
      <c r="D13" s="230" t="s">
        <v>91</v>
      </c>
      <c r="E13" s="206">
        <f>AVERAGE(C12:C14)</f>
        <v>0.57400000000000007</v>
      </c>
      <c r="F13" s="206">
        <f>231.92*E13 - 21.072</f>
        <v>112.05008000000001</v>
      </c>
      <c r="G13" s="206">
        <v>135.84910499999998</v>
      </c>
      <c r="H13" s="210">
        <f>AVERAGE(F13:G13)</f>
        <v>123.94959249999999</v>
      </c>
      <c r="P13" s="1"/>
      <c r="Q13" s="1"/>
      <c r="R13" s="187"/>
      <c r="S13" s="187"/>
      <c r="T13" s="187"/>
      <c r="U13" s="203"/>
    </row>
    <row r="14" spans="1:21" ht="13.2" x14ac:dyDescent="0.25">
      <c r="A14" s="170">
        <v>0.56200000000000006</v>
      </c>
      <c r="B14" s="170">
        <v>100</v>
      </c>
      <c r="C14" s="231"/>
      <c r="D14" s="232"/>
      <c r="E14" s="233"/>
      <c r="F14" s="233"/>
      <c r="G14" s="233"/>
      <c r="H14" s="210"/>
      <c r="P14" s="1"/>
      <c r="Q14" s="1"/>
      <c r="R14" s="187"/>
      <c r="S14" s="187"/>
      <c r="T14" s="187"/>
      <c r="U14" s="203"/>
    </row>
    <row r="15" spans="1:21" ht="13.8" thickBot="1" x14ac:dyDescent="0.3">
      <c r="A15" s="170">
        <v>0.57599999999999996</v>
      </c>
      <c r="B15" s="170">
        <v>100</v>
      </c>
      <c r="C15" s="234">
        <v>0.59299999999999997</v>
      </c>
      <c r="D15" s="235">
        <v>6306</v>
      </c>
      <c r="E15" s="236"/>
      <c r="F15" s="236"/>
      <c r="G15" s="236"/>
      <c r="H15" s="210"/>
      <c r="P15" s="1"/>
      <c r="Q15" s="1"/>
      <c r="S15" s="187"/>
      <c r="T15" s="187"/>
      <c r="U15" s="203"/>
    </row>
    <row r="16" spans="1:21" ht="13.8" thickBot="1" x14ac:dyDescent="0.3">
      <c r="C16" s="204">
        <v>0.42199999999999999</v>
      </c>
      <c r="D16" s="230" t="s">
        <v>91</v>
      </c>
      <c r="E16" s="206">
        <f>AVERAGE(C15:C17)</f>
        <v>0.50749999999999995</v>
      </c>
      <c r="F16" s="206">
        <f>231.92*E16 - 21.072</f>
        <v>96.62739999999998</v>
      </c>
      <c r="G16" s="206">
        <v>98.100450000000009</v>
      </c>
      <c r="H16" s="210">
        <f>AVERAGE(F16:G16)</f>
        <v>97.363924999999995</v>
      </c>
      <c r="P16" s="1"/>
      <c r="Q16" s="1"/>
      <c r="R16" s="187"/>
      <c r="S16" s="187"/>
      <c r="T16" s="187"/>
      <c r="U16" s="203"/>
    </row>
    <row r="17" spans="1:21" ht="13.2" x14ac:dyDescent="0.25">
      <c r="C17" s="204"/>
      <c r="D17" s="207"/>
      <c r="E17" s="206"/>
      <c r="F17" s="206"/>
      <c r="G17" s="206"/>
      <c r="H17" s="210"/>
      <c r="P17" s="1"/>
      <c r="Q17" s="1"/>
      <c r="R17" s="187"/>
      <c r="S17" s="187"/>
      <c r="T17" s="187"/>
      <c r="U17" s="203"/>
    </row>
    <row r="18" spans="1:21" ht="13.8" thickBot="1" x14ac:dyDescent="0.3">
      <c r="A18" s="170">
        <v>0.314</v>
      </c>
      <c r="B18" s="170">
        <v>50</v>
      </c>
      <c r="C18" s="204">
        <v>0.49299999999999999</v>
      </c>
      <c r="D18" s="208">
        <v>6309</v>
      </c>
      <c r="E18" s="206"/>
      <c r="F18" s="206"/>
      <c r="G18" s="206"/>
      <c r="H18" s="210"/>
      <c r="P18" s="1"/>
      <c r="Q18" s="1"/>
      <c r="R18" s="187"/>
      <c r="S18" s="187"/>
      <c r="T18" s="187"/>
      <c r="U18" s="203"/>
    </row>
    <row r="19" spans="1:21" ht="13.8" thickBot="1" x14ac:dyDescent="0.3">
      <c r="A19" s="170">
        <v>0.29599999999999999</v>
      </c>
      <c r="B19" s="170">
        <v>50</v>
      </c>
      <c r="C19" s="204">
        <v>0.45200000000000001</v>
      </c>
      <c r="D19" s="230" t="s">
        <v>91</v>
      </c>
      <c r="E19" s="206">
        <f>AVERAGE(C18:C20)</f>
        <v>0.47250000000000003</v>
      </c>
      <c r="F19" s="206">
        <f>231.92*E19 - 21.072</f>
        <v>88.510199999999998</v>
      </c>
      <c r="G19" s="206">
        <v>141.47909999999999</v>
      </c>
      <c r="H19" s="210">
        <f>AVERAGE(F19:G19)</f>
        <v>114.99464999999999</v>
      </c>
      <c r="P19" s="1"/>
      <c r="Q19" s="1"/>
      <c r="R19" s="187"/>
      <c r="S19" s="187"/>
      <c r="T19" s="187"/>
      <c r="U19" s="203"/>
    </row>
    <row r="20" spans="1:21" x14ac:dyDescent="0.2">
      <c r="C20" s="204"/>
      <c r="D20" s="207"/>
      <c r="E20" s="206"/>
      <c r="F20" s="206"/>
      <c r="G20" s="206"/>
      <c r="H20" s="210"/>
      <c r="J20" s="187"/>
      <c r="K20" s="187"/>
      <c r="L20" s="187"/>
      <c r="M20" s="187"/>
      <c r="S20" s="187"/>
      <c r="T20" s="187"/>
      <c r="U20" s="203"/>
    </row>
    <row r="21" spans="1:21" ht="13.8" thickBot="1" x14ac:dyDescent="0.3">
      <c r="C21" s="204">
        <v>0.47899999999999998</v>
      </c>
      <c r="D21" s="208">
        <v>6307</v>
      </c>
      <c r="E21" s="206"/>
      <c r="F21" s="206"/>
      <c r="G21" s="206"/>
      <c r="H21" s="210"/>
      <c r="J21" s="187"/>
      <c r="S21" s="187"/>
      <c r="T21" s="187"/>
      <c r="U21" s="203"/>
    </row>
    <row r="22" spans="1:21" ht="10.8" thickBot="1" x14ac:dyDescent="0.25">
      <c r="A22" s="170">
        <v>0.17699999999999999</v>
      </c>
      <c r="B22" s="170">
        <v>25</v>
      </c>
      <c r="C22" s="204">
        <v>0.44800000000000001</v>
      </c>
      <c r="D22" s="230" t="s">
        <v>91</v>
      </c>
      <c r="E22" s="206">
        <f>AVERAGE(C21:C23)</f>
        <v>0.46350000000000002</v>
      </c>
      <c r="F22" s="206">
        <f>231.92*E22 - 21.072</f>
        <v>86.422919999999991</v>
      </c>
      <c r="G22" s="206">
        <v>106.31470500000002</v>
      </c>
      <c r="H22" s="210">
        <f>AVERAGE(F22:G22)</f>
        <v>96.368812500000004</v>
      </c>
      <c r="J22" s="187"/>
      <c r="S22" s="187"/>
      <c r="T22" s="187"/>
      <c r="U22" s="203"/>
    </row>
    <row r="23" spans="1:21" x14ac:dyDescent="0.2">
      <c r="A23" s="170">
        <v>0.188</v>
      </c>
      <c r="B23" s="170">
        <v>25</v>
      </c>
      <c r="C23" s="204"/>
      <c r="D23" s="207"/>
      <c r="E23" s="206"/>
      <c r="F23" s="206"/>
      <c r="G23" s="206"/>
      <c r="H23" s="210"/>
      <c r="J23" s="187"/>
      <c r="S23" s="187"/>
      <c r="T23" s="187"/>
      <c r="U23" s="203"/>
    </row>
    <row r="24" spans="1:21" ht="13.8" thickBot="1" x14ac:dyDescent="0.3">
      <c r="C24" s="204">
        <v>0.39900000000000002</v>
      </c>
      <c r="D24" s="208">
        <v>6477</v>
      </c>
      <c r="E24" s="206"/>
      <c r="F24" s="206"/>
      <c r="G24" s="206"/>
      <c r="H24" s="210"/>
      <c r="J24" s="187"/>
      <c r="S24" s="187"/>
      <c r="T24" s="187"/>
      <c r="U24" s="203"/>
    </row>
    <row r="25" spans="1:21" ht="13.8" thickBot="1" x14ac:dyDescent="0.3">
      <c r="C25" s="204">
        <v>0.52100000000000002</v>
      </c>
      <c r="D25" s="230" t="s">
        <v>91</v>
      </c>
      <c r="E25" s="206">
        <f>AVERAGE(C24:C29)</f>
        <v>0.46150000000000002</v>
      </c>
      <c r="F25" s="206">
        <f>231.92*E25 - 21.072</f>
        <v>85.95908</v>
      </c>
      <c r="G25" s="206">
        <v>90.439964999999987</v>
      </c>
      <c r="H25" s="210">
        <f>AVERAGE(F25:G25)</f>
        <v>88.1995225</v>
      </c>
      <c r="J25" s="1"/>
      <c r="K25" s="1"/>
      <c r="L25" s="1"/>
      <c r="S25" s="187"/>
      <c r="T25" s="187"/>
      <c r="U25" s="203"/>
    </row>
    <row r="26" spans="1:21" ht="13.2" x14ac:dyDescent="0.25">
      <c r="A26" s="170">
        <v>0.13100000000000001</v>
      </c>
      <c r="B26" s="170">
        <v>12.5</v>
      </c>
      <c r="C26" s="204"/>
      <c r="D26" s="207"/>
      <c r="E26" s="206"/>
      <c r="F26" s="206"/>
      <c r="G26" s="206"/>
      <c r="H26" s="210"/>
      <c r="J26" s="1"/>
      <c r="K26" s="1"/>
      <c r="L26" s="1"/>
      <c r="S26" s="187"/>
      <c r="T26" s="187"/>
      <c r="U26" s="203"/>
    </row>
    <row r="27" spans="1:21" ht="13.8" thickBot="1" x14ac:dyDescent="0.3">
      <c r="A27" s="170">
        <v>0.112</v>
      </c>
      <c r="B27" s="170">
        <v>12.5</v>
      </c>
      <c r="C27" s="204">
        <v>0.46899999999999997</v>
      </c>
      <c r="D27" s="208">
        <v>6479</v>
      </c>
      <c r="E27" s="206"/>
      <c r="F27" s="206"/>
      <c r="G27" s="206"/>
      <c r="H27" s="210"/>
      <c r="J27" s="51"/>
      <c r="L27" s="1"/>
      <c r="S27" s="187"/>
      <c r="T27" s="187"/>
      <c r="U27" s="203"/>
    </row>
    <row r="28" spans="1:21" ht="13.8" thickBot="1" x14ac:dyDescent="0.3">
      <c r="C28" s="204">
        <v>0.45700000000000002</v>
      </c>
      <c r="D28" s="230" t="s">
        <v>91</v>
      </c>
      <c r="E28" s="206">
        <f>AVERAGE(C27:C29)</f>
        <v>0.46299999999999997</v>
      </c>
      <c r="F28" s="206">
        <f>231.92*E28 - 21.072</f>
        <v>86.306959999999989</v>
      </c>
      <c r="G28" s="206">
        <v>88.132590000000008</v>
      </c>
      <c r="H28" s="210">
        <f>AVERAGE(F28:G28)</f>
        <v>87.219774999999998</v>
      </c>
      <c r="J28" s="1"/>
      <c r="K28" s="260" t="s">
        <v>100</v>
      </c>
      <c r="L28" s="261" t="s">
        <v>13</v>
      </c>
      <c r="S28" s="187"/>
      <c r="T28" s="187"/>
      <c r="U28" s="203"/>
    </row>
    <row r="29" spans="1:21" ht="10.8" thickBot="1" x14ac:dyDescent="0.25">
      <c r="C29" s="204"/>
      <c r="D29" s="207"/>
      <c r="E29" s="206"/>
      <c r="F29" s="206"/>
      <c r="G29" s="206"/>
      <c r="H29" s="210"/>
      <c r="I29" s="224"/>
      <c r="J29" s="225" t="s">
        <v>91</v>
      </c>
      <c r="K29" s="170">
        <f>AVERAGE(H7:H31)</f>
        <v>98.017756111111098</v>
      </c>
      <c r="L29" s="187">
        <f>STDEV(H7:H31)/SQRT(COUNT(H7:H31))</f>
        <v>4.6123147358831416</v>
      </c>
      <c r="S29" s="187"/>
      <c r="T29" s="187"/>
      <c r="U29" s="203"/>
    </row>
    <row r="30" spans="1:21" ht="13.8" thickBot="1" x14ac:dyDescent="0.3">
      <c r="A30" s="170">
        <v>6.7000000000000004E-2</v>
      </c>
      <c r="B30" s="170">
        <v>0</v>
      </c>
      <c r="C30" s="204">
        <v>0.52300000000000002</v>
      </c>
      <c r="D30" s="208">
        <v>6305</v>
      </c>
      <c r="E30" s="206"/>
      <c r="F30" s="206"/>
      <c r="G30" s="206"/>
      <c r="H30" s="210"/>
      <c r="J30" s="1"/>
      <c r="K30" s="1"/>
      <c r="L30" s="1"/>
      <c r="S30" s="187"/>
      <c r="T30" s="187"/>
      <c r="U30" s="203"/>
    </row>
    <row r="31" spans="1:21" ht="10.8" thickBot="1" x14ac:dyDescent="0.25">
      <c r="A31" s="170">
        <v>7.2999999999999995E-2</v>
      </c>
      <c r="B31" s="170">
        <v>0</v>
      </c>
      <c r="C31" s="204">
        <v>0.497</v>
      </c>
      <c r="D31" s="230" t="s">
        <v>91</v>
      </c>
      <c r="E31" s="206">
        <f>AVERAGE(C30:C32)</f>
        <v>0.51</v>
      </c>
      <c r="F31" s="206">
        <f>231.92*E31 - 21.072</f>
        <v>97.207199999999986</v>
      </c>
      <c r="G31" s="206">
        <v>100.223235</v>
      </c>
      <c r="H31" s="210">
        <f>AVERAGE(F31:G31)</f>
        <v>98.715217499999994</v>
      </c>
      <c r="I31" s="224"/>
      <c r="J31" s="198" t="s">
        <v>92</v>
      </c>
      <c r="K31" s="170">
        <f>AVERAGE(H33:H63)</f>
        <v>71.6751890909091</v>
      </c>
      <c r="L31" s="187">
        <f>STDEV(H33:H63)/SQRT(COUNT(H33:H63))</f>
        <v>5.5850647374399349</v>
      </c>
      <c r="S31" s="187"/>
      <c r="T31" s="187"/>
      <c r="U31" s="203"/>
    </row>
    <row r="32" spans="1:21" ht="13.8" thickBot="1" x14ac:dyDescent="0.3">
      <c r="C32" s="231"/>
      <c r="D32" s="232"/>
      <c r="E32" s="233"/>
      <c r="F32" s="233"/>
      <c r="G32" s="233"/>
      <c r="H32" s="251"/>
      <c r="J32" s="1"/>
      <c r="K32" s="1"/>
      <c r="L32" s="1"/>
      <c r="S32" s="187"/>
      <c r="T32" s="187"/>
      <c r="U32" s="203"/>
    </row>
    <row r="33" spans="3:21" ht="13.8" thickBot="1" x14ac:dyDescent="0.3">
      <c r="C33" s="201">
        <v>0.36699999999999999</v>
      </c>
      <c r="D33" s="229">
        <v>6421</v>
      </c>
      <c r="E33" s="202">
        <f>AVERAGE(C33:C35)</f>
        <v>0.42249999999999999</v>
      </c>
      <c r="F33" s="202">
        <f>231.92*E33 - 21.072</f>
        <v>76.914199999999994</v>
      </c>
      <c r="G33" s="202">
        <v>76.964894999999999</v>
      </c>
      <c r="H33" s="209">
        <f>AVERAGE(F33:G33)</f>
        <v>76.939547500000003</v>
      </c>
      <c r="J33" s="226" t="s">
        <v>93</v>
      </c>
      <c r="K33" s="170">
        <f>AVERAGE(H66:H93)</f>
        <v>65.838606249999998</v>
      </c>
      <c r="L33" s="187">
        <f>STDEV(H66:H93)/SQRT(COUNT(H66:H93))</f>
        <v>2.2891558292332865</v>
      </c>
      <c r="S33" s="187"/>
      <c r="T33" s="187"/>
      <c r="U33" s="203"/>
    </row>
    <row r="34" spans="3:21" ht="13.8" thickBot="1" x14ac:dyDescent="0.3">
      <c r="C34" s="204">
        <v>0.47799999999999998</v>
      </c>
      <c r="D34" s="252" t="s">
        <v>92</v>
      </c>
      <c r="E34" s="206"/>
      <c r="F34" s="206"/>
      <c r="G34" s="206"/>
      <c r="H34" s="210"/>
      <c r="J34" s="1"/>
      <c r="K34" s="1"/>
      <c r="L34" s="1"/>
      <c r="N34" s="211"/>
      <c r="S34" s="187"/>
      <c r="T34" s="187"/>
      <c r="U34" s="203"/>
    </row>
    <row r="35" spans="3:21" ht="13.8" thickBot="1" x14ac:dyDescent="0.3">
      <c r="C35" s="204"/>
      <c r="D35" s="207"/>
      <c r="E35" s="206"/>
      <c r="F35" s="206"/>
      <c r="G35" s="206"/>
      <c r="H35" s="210"/>
      <c r="J35" s="228" t="s">
        <v>96</v>
      </c>
      <c r="K35" s="170">
        <f>AVERAGE(H96:H117)</f>
        <v>104.1640203125</v>
      </c>
      <c r="L35" s="187">
        <f>STDEV(H96:H117)/SQRT(COUNT(H96:H117))</f>
        <v>6.1626524685455548</v>
      </c>
      <c r="N35" s="211"/>
      <c r="S35" s="187"/>
      <c r="T35" s="187"/>
      <c r="U35" s="203"/>
    </row>
    <row r="36" spans="3:21" ht="13.8" thickBot="1" x14ac:dyDescent="0.3">
      <c r="C36" s="204">
        <v>0.39</v>
      </c>
      <c r="D36" s="208">
        <v>6473</v>
      </c>
      <c r="E36" s="206">
        <f>AVERAGE(C36:C38)</f>
        <v>0.38650000000000001</v>
      </c>
      <c r="F36" s="206">
        <f>231.92*E36 - 21.072</f>
        <v>68.565079999999995</v>
      </c>
      <c r="G36" s="206">
        <v>65.243430000000004</v>
      </c>
      <c r="H36" s="210">
        <f>AVERAGE(F36:G36)</f>
        <v>66.904255000000006</v>
      </c>
      <c r="J36" s="1"/>
      <c r="K36" s="1"/>
      <c r="L36" s="1"/>
      <c r="N36" s="211"/>
      <c r="S36" s="187"/>
      <c r="T36" s="187"/>
      <c r="U36" s="203"/>
    </row>
    <row r="37" spans="3:21" ht="13.8" thickBot="1" x14ac:dyDescent="0.3">
      <c r="C37" s="204">
        <v>0.38300000000000001</v>
      </c>
      <c r="D37" s="252" t="s">
        <v>92</v>
      </c>
      <c r="E37" s="206"/>
      <c r="F37" s="206"/>
      <c r="G37" s="206"/>
      <c r="H37" s="210"/>
      <c r="J37" s="259" t="s">
        <v>97</v>
      </c>
      <c r="K37" s="170">
        <f>AVERAGE(H120:H141)</f>
        <v>51.985918437499997</v>
      </c>
      <c r="L37" s="187">
        <f>STDEV(H120:H141)/SQRT(COUNT(H120:H141))</f>
        <v>3.2609908835445145</v>
      </c>
      <c r="N37" s="211"/>
      <c r="S37" s="187"/>
      <c r="T37" s="187"/>
      <c r="U37" s="203"/>
    </row>
    <row r="38" spans="3:21" ht="13.8" thickBot="1" x14ac:dyDescent="0.3">
      <c r="C38" s="204"/>
      <c r="D38" s="206"/>
      <c r="E38" s="206"/>
      <c r="F38" s="206"/>
      <c r="G38" s="206"/>
      <c r="H38" s="210"/>
      <c r="J38" s="1"/>
      <c r="K38" s="1"/>
      <c r="L38" s="1"/>
      <c r="N38" s="211"/>
      <c r="S38" s="187"/>
      <c r="T38" s="187"/>
      <c r="U38" s="203"/>
    </row>
    <row r="39" spans="3:21" ht="13.8" thickBot="1" x14ac:dyDescent="0.3">
      <c r="C39" s="204">
        <v>0.40799999999999997</v>
      </c>
      <c r="D39" s="208">
        <v>6471</v>
      </c>
      <c r="E39" s="206">
        <f>AVERAGE(C39:C41)</f>
        <v>0.40799999999999997</v>
      </c>
      <c r="F39" s="206">
        <f>231.92*E39 - 21.072</f>
        <v>73.551359999999988</v>
      </c>
      <c r="G39" s="206">
        <v>66.166380000000004</v>
      </c>
      <c r="H39" s="210">
        <f>AVERAGE(F39:G39)</f>
        <v>69.858869999999996</v>
      </c>
      <c r="J39" s="227" t="s">
        <v>98</v>
      </c>
      <c r="K39" s="170">
        <f>AVERAGE(H144:H162)</f>
        <v>45.54503857142857</v>
      </c>
      <c r="L39" s="187">
        <f>STDEV(H144:H162)/SQRT(COUNT(H144:H162))</f>
        <v>1.3058995790401196</v>
      </c>
      <c r="N39" s="211"/>
      <c r="S39" s="187"/>
      <c r="T39" s="187"/>
      <c r="U39" s="203"/>
    </row>
    <row r="40" spans="3:21" ht="13.2" x14ac:dyDescent="0.25">
      <c r="C40" s="204"/>
      <c r="D40" s="252" t="s">
        <v>92</v>
      </c>
      <c r="E40" s="206"/>
      <c r="F40" s="206"/>
      <c r="G40" s="206"/>
      <c r="H40" s="210"/>
      <c r="J40" s="1"/>
      <c r="K40" s="1"/>
      <c r="L40" s="1"/>
      <c r="N40" s="211"/>
      <c r="R40" s="187"/>
      <c r="S40" s="187"/>
      <c r="T40" s="187"/>
      <c r="U40" s="203"/>
    </row>
    <row r="41" spans="3:21" ht="13.2" x14ac:dyDescent="0.25">
      <c r="C41" s="204"/>
      <c r="D41" s="207"/>
      <c r="E41" s="206"/>
      <c r="F41" s="206"/>
      <c r="G41" s="206"/>
      <c r="H41" s="210"/>
      <c r="L41" s="1"/>
      <c r="R41" s="187"/>
      <c r="S41" s="187"/>
      <c r="T41" s="187"/>
      <c r="U41" s="203"/>
    </row>
    <row r="42" spans="3:21" ht="13.2" x14ac:dyDescent="0.25">
      <c r="C42" s="204">
        <v>0.32700000000000001</v>
      </c>
      <c r="D42" s="208">
        <v>6589</v>
      </c>
      <c r="E42" s="206">
        <f>AVERAGE(C42:C44)</f>
        <v>0.33100000000000002</v>
      </c>
      <c r="F42" s="206">
        <f>231.92*E42 - 21.072</f>
        <v>55.693519999999992</v>
      </c>
      <c r="G42" s="206">
        <v>52.968194999999994</v>
      </c>
      <c r="H42" s="210">
        <f>AVERAGE(F42:G42)</f>
        <v>54.330857499999993</v>
      </c>
      <c r="J42" s="1"/>
      <c r="K42" s="1"/>
      <c r="L42" s="1"/>
      <c r="R42" s="187"/>
      <c r="S42" s="187"/>
      <c r="T42" s="187"/>
      <c r="U42" s="203"/>
    </row>
    <row r="43" spans="3:21" ht="13.2" x14ac:dyDescent="0.25">
      <c r="C43" s="204">
        <v>0.33500000000000002</v>
      </c>
      <c r="D43" s="252" t="s">
        <v>92</v>
      </c>
      <c r="E43" s="206"/>
      <c r="F43" s="206"/>
      <c r="G43" s="206"/>
      <c r="H43" s="210"/>
      <c r="J43" s="197"/>
      <c r="L43" s="1"/>
      <c r="R43" s="187"/>
      <c r="S43" s="187"/>
      <c r="T43" s="187"/>
      <c r="U43" s="203"/>
    </row>
    <row r="44" spans="3:21" ht="13.2" x14ac:dyDescent="0.25">
      <c r="C44" s="204"/>
      <c r="D44" s="206"/>
      <c r="E44" s="206"/>
      <c r="F44" s="206"/>
      <c r="G44" s="206"/>
      <c r="H44" s="210"/>
      <c r="J44" s="1"/>
      <c r="K44" s="1"/>
      <c r="L44" s="1"/>
    </row>
    <row r="45" spans="3:21" ht="13.2" x14ac:dyDescent="0.25">
      <c r="C45" s="204">
        <v>0.318</v>
      </c>
      <c r="D45" s="212">
        <v>6554</v>
      </c>
      <c r="E45" s="206">
        <f>AVERAGE(C45:C47)</f>
        <v>0.307</v>
      </c>
      <c r="F45" s="206">
        <f>231.92*E45 - 21.072</f>
        <v>50.127439999999993</v>
      </c>
      <c r="G45" s="206">
        <v>52.137540000000016</v>
      </c>
      <c r="H45" s="210">
        <f>AVERAGE(F45:G45)</f>
        <v>51.132490000000004</v>
      </c>
      <c r="J45" s="197"/>
      <c r="L45" s="1"/>
    </row>
    <row r="46" spans="3:21" ht="13.2" x14ac:dyDescent="0.25">
      <c r="C46" s="204">
        <v>0.29599999999999999</v>
      </c>
      <c r="D46" s="252" t="s">
        <v>92</v>
      </c>
      <c r="E46" s="206"/>
      <c r="F46" s="206"/>
      <c r="G46" s="206"/>
      <c r="H46" s="210"/>
      <c r="J46" s="1"/>
      <c r="K46" s="211"/>
      <c r="L46" s="1"/>
    </row>
    <row r="47" spans="3:21" ht="13.2" x14ac:dyDescent="0.25">
      <c r="C47" s="204"/>
      <c r="D47" s="206"/>
      <c r="E47" s="206"/>
      <c r="F47" s="206"/>
      <c r="G47" s="206"/>
      <c r="H47" s="210"/>
      <c r="J47" s="1"/>
      <c r="K47" s="211"/>
      <c r="L47" s="1"/>
    </row>
    <row r="48" spans="3:21" ht="13.2" x14ac:dyDescent="0.25">
      <c r="C48" s="204">
        <v>0.60899999999999999</v>
      </c>
      <c r="D48" s="208">
        <v>6550</v>
      </c>
      <c r="E48" s="206">
        <f>AVERAGE(C48:C50)</f>
        <v>0.50700000000000001</v>
      </c>
      <c r="F48" s="206">
        <f>231.92*E48 - 21.072</f>
        <v>96.511439999999993</v>
      </c>
      <c r="G48" s="206">
        <v>120.98960999999998</v>
      </c>
      <c r="H48" s="210">
        <f>AVERAGE(F48:G48)</f>
        <v>108.75052499999998</v>
      </c>
      <c r="J48" s="1"/>
      <c r="K48" s="211"/>
      <c r="L48" s="1"/>
    </row>
    <row r="49" spans="3:19" ht="13.2" x14ac:dyDescent="0.25">
      <c r="C49" s="204">
        <v>0.40500000000000003</v>
      </c>
      <c r="D49" s="252" t="s">
        <v>92</v>
      </c>
      <c r="E49" s="206"/>
      <c r="F49" s="206"/>
      <c r="G49" s="206"/>
      <c r="H49" s="210"/>
      <c r="J49" s="1"/>
      <c r="K49" s="211"/>
      <c r="L49" s="1"/>
    </row>
    <row r="50" spans="3:19" ht="13.2" x14ac:dyDescent="0.25">
      <c r="C50" s="204"/>
      <c r="D50" s="207"/>
      <c r="E50" s="206"/>
      <c r="F50" s="206"/>
      <c r="G50" s="206"/>
      <c r="H50" s="210"/>
      <c r="K50" s="211"/>
      <c r="L50" s="1"/>
    </row>
    <row r="51" spans="3:19" ht="13.2" x14ac:dyDescent="0.25">
      <c r="C51" s="204">
        <v>0.39700000000000002</v>
      </c>
      <c r="D51" s="212">
        <v>6467</v>
      </c>
      <c r="E51" s="206">
        <f>AVERAGE(C51:C53)</f>
        <v>0.42600000000000005</v>
      </c>
      <c r="F51" s="206">
        <f>231.92*E51 - 21.072</f>
        <v>77.725920000000002</v>
      </c>
      <c r="G51" s="206">
        <v>69.212114999999997</v>
      </c>
      <c r="H51" s="210">
        <f>AVERAGE(F51:G51)</f>
        <v>73.469017500000007</v>
      </c>
      <c r="K51" s="211"/>
      <c r="L51" s="1"/>
    </row>
    <row r="52" spans="3:19" ht="13.2" x14ac:dyDescent="0.25">
      <c r="C52" s="204">
        <v>0.45500000000000002</v>
      </c>
      <c r="D52" s="252" t="s">
        <v>92</v>
      </c>
      <c r="E52" s="206"/>
      <c r="F52" s="206"/>
      <c r="G52" s="206"/>
      <c r="H52" s="210"/>
      <c r="K52" s="211"/>
      <c r="L52" s="1"/>
    </row>
    <row r="53" spans="3:19" ht="13.2" x14ac:dyDescent="0.25">
      <c r="C53" s="204"/>
      <c r="D53" s="207"/>
      <c r="E53" s="206"/>
      <c r="F53" s="206"/>
      <c r="G53" s="206"/>
      <c r="H53" s="210"/>
      <c r="K53" s="211"/>
      <c r="L53" s="1"/>
    </row>
    <row r="54" spans="3:19" ht="13.2" x14ac:dyDescent="0.25">
      <c r="C54" s="204">
        <v>0.30499999999999999</v>
      </c>
      <c r="D54" s="212">
        <v>6551</v>
      </c>
      <c r="E54" s="206">
        <f>AVERAGE(C54:C56)</f>
        <v>0.3105</v>
      </c>
      <c r="F54" s="206">
        <f>231.92*E54 - 21.072</f>
        <v>50.939159999999987</v>
      </c>
      <c r="G54" s="206">
        <v>42.261975000000007</v>
      </c>
      <c r="H54" s="210">
        <f>AVERAGE(F54:G54)</f>
        <v>46.600567499999997</v>
      </c>
      <c r="K54" s="197"/>
      <c r="L54" s="1"/>
    </row>
    <row r="55" spans="3:19" ht="13.2" x14ac:dyDescent="0.25">
      <c r="C55" s="204">
        <v>0.316</v>
      </c>
      <c r="D55" s="252" t="s">
        <v>92</v>
      </c>
      <c r="E55" s="206"/>
      <c r="F55" s="206"/>
      <c r="G55" s="206"/>
      <c r="H55" s="210"/>
      <c r="L55" s="1"/>
    </row>
    <row r="56" spans="3:19" ht="13.2" x14ac:dyDescent="0.25">
      <c r="C56" s="204"/>
      <c r="D56" s="207"/>
      <c r="E56" s="206"/>
      <c r="F56" s="206"/>
      <c r="G56" s="206"/>
      <c r="H56" s="210"/>
      <c r="K56" s="213"/>
      <c r="L56" s="1"/>
    </row>
    <row r="57" spans="3:19" ht="13.2" x14ac:dyDescent="0.25">
      <c r="C57" s="204">
        <v>0.436</v>
      </c>
      <c r="D57" s="212">
        <v>6468</v>
      </c>
      <c r="E57" s="206">
        <f>AVERAGE(C57:C59)</f>
        <v>0.46399999999999997</v>
      </c>
      <c r="F57" s="206">
        <f>231.92*E57 - 21.072</f>
        <v>86.538879999999978</v>
      </c>
      <c r="G57" s="206">
        <v>76.503420000000006</v>
      </c>
      <c r="H57" s="210">
        <f>AVERAGE(F57:G57)</f>
        <v>81.521149999999992</v>
      </c>
      <c r="K57" s="213"/>
      <c r="L57" s="1"/>
    </row>
    <row r="58" spans="3:19" ht="13.2" x14ac:dyDescent="0.25">
      <c r="C58" s="204">
        <v>0.49199999999999999</v>
      </c>
      <c r="D58" s="252" t="s">
        <v>92</v>
      </c>
      <c r="E58" s="206"/>
      <c r="F58" s="206"/>
      <c r="G58" s="206"/>
      <c r="H58" s="210"/>
      <c r="K58" s="197"/>
      <c r="L58"/>
    </row>
    <row r="59" spans="3:19" ht="13.2" x14ac:dyDescent="0.25">
      <c r="C59" s="204"/>
      <c r="D59" s="206"/>
      <c r="E59" s="206"/>
      <c r="F59" s="206"/>
      <c r="G59" s="206"/>
      <c r="H59" s="210"/>
      <c r="K59" s="197"/>
      <c r="L59"/>
    </row>
    <row r="60" spans="3:19" ht="13.2" x14ac:dyDescent="0.25">
      <c r="C60" s="204">
        <v>0.51100000000000001</v>
      </c>
      <c r="D60" s="212">
        <v>6259</v>
      </c>
      <c r="E60" s="206">
        <f>AVERAGE(C60:C62)</f>
        <v>0.52649999999999997</v>
      </c>
      <c r="F60" s="206">
        <f>231.92*E60 - 21.072</f>
        <v>101.03387999999998</v>
      </c>
      <c r="G60" s="206">
        <v>87.209640000000022</v>
      </c>
      <c r="H60" s="210">
        <f>AVERAGE(F60:G60)</f>
        <v>94.121759999999995</v>
      </c>
      <c r="K60" s="187"/>
      <c r="L60" s="5"/>
      <c r="R60" s="187"/>
      <c r="S60" s="214"/>
    </row>
    <row r="61" spans="3:19" x14ac:dyDescent="0.2">
      <c r="C61" s="204">
        <v>0.54200000000000004</v>
      </c>
      <c r="D61" s="252" t="s">
        <v>92</v>
      </c>
      <c r="E61" s="206"/>
      <c r="F61" s="206"/>
      <c r="G61" s="206"/>
      <c r="H61" s="210"/>
      <c r="K61" s="187"/>
      <c r="L61" s="197"/>
    </row>
    <row r="62" spans="3:19" x14ac:dyDescent="0.2">
      <c r="C62" s="204"/>
      <c r="D62" s="206"/>
      <c r="E62" s="206"/>
      <c r="F62" s="206"/>
      <c r="G62" s="206"/>
      <c r="H62" s="210"/>
      <c r="K62" s="187"/>
      <c r="L62" s="187"/>
    </row>
    <row r="63" spans="3:19" ht="13.2" x14ac:dyDescent="0.25">
      <c r="C63" s="204">
        <v>0.35599999999999998</v>
      </c>
      <c r="D63" s="212">
        <v>6470</v>
      </c>
      <c r="E63" s="206">
        <f>AVERAGE(C63:C65)</f>
        <v>0.3755</v>
      </c>
      <c r="F63" s="206">
        <f>231.92*E63 - 21.072</f>
        <v>66.013959999999997</v>
      </c>
      <c r="G63" s="206">
        <v>63.582120000000003</v>
      </c>
      <c r="H63" s="210">
        <f>AVERAGE(F63:G63)</f>
        <v>64.79804</v>
      </c>
      <c r="K63" s="211"/>
      <c r="L63"/>
    </row>
    <row r="64" spans="3:19" ht="13.2" x14ac:dyDescent="0.25">
      <c r="C64" s="204">
        <v>0.39500000000000002</v>
      </c>
      <c r="D64" s="252" t="s">
        <v>92</v>
      </c>
      <c r="E64" s="206"/>
      <c r="F64" s="206"/>
      <c r="G64" s="206"/>
      <c r="H64" s="210"/>
      <c r="K64" s="211"/>
      <c r="L64"/>
    </row>
    <row r="65" spans="2:12" ht="13.8" thickBot="1" x14ac:dyDescent="0.3">
      <c r="C65" s="215"/>
      <c r="D65" s="216"/>
      <c r="E65" s="217"/>
      <c r="F65" s="217"/>
      <c r="G65" s="217"/>
      <c r="H65" s="223"/>
      <c r="K65" s="211"/>
      <c r="L65"/>
    </row>
    <row r="66" spans="2:12" ht="13.2" x14ac:dyDescent="0.25">
      <c r="C66" s="201">
        <v>0.316</v>
      </c>
      <c r="D66" s="220">
        <v>6437</v>
      </c>
      <c r="E66" s="202">
        <f>AVERAGE(C66:C68)</f>
        <v>0.34199999999999997</v>
      </c>
      <c r="F66" s="202">
        <f>231.92*E66 - 21.072</f>
        <v>58.24463999999999</v>
      </c>
      <c r="G66" s="202">
        <v>64.781954999999996</v>
      </c>
      <c r="H66" s="209">
        <f>AVERAGE(F66:G66)</f>
        <v>61.513297499999993</v>
      </c>
      <c r="K66" s="211"/>
      <c r="L66"/>
    </row>
    <row r="67" spans="2:12" ht="13.2" x14ac:dyDescent="0.25">
      <c r="B67" s="170" t="s">
        <v>0</v>
      </c>
      <c r="C67" s="204">
        <v>0.36799999999999999</v>
      </c>
      <c r="D67" s="238" t="s">
        <v>99</v>
      </c>
      <c r="E67" s="206"/>
      <c r="F67" s="206"/>
      <c r="G67" s="206"/>
      <c r="H67" s="210"/>
      <c r="K67" s="211"/>
      <c r="L67"/>
    </row>
    <row r="68" spans="2:12" ht="13.2" x14ac:dyDescent="0.25">
      <c r="C68" s="204"/>
      <c r="D68" s="207"/>
      <c r="E68" s="206"/>
      <c r="F68" s="206"/>
      <c r="G68" s="206"/>
      <c r="H68" s="210"/>
      <c r="K68" s="197"/>
      <c r="L68"/>
    </row>
    <row r="69" spans="2:12" ht="13.2" x14ac:dyDescent="0.25">
      <c r="C69" s="204">
        <v>0.35499999999999998</v>
      </c>
      <c r="D69" s="212">
        <v>6959</v>
      </c>
      <c r="E69" s="206">
        <f>AVERAGE(C69:C71)</f>
        <v>0.36049999999999999</v>
      </c>
      <c r="F69" s="206">
        <f>231.92*E69 - 21.072</f>
        <v>62.535159999999991</v>
      </c>
      <c r="G69" s="206">
        <v>65.889494999999997</v>
      </c>
      <c r="H69" s="210">
        <f>AVERAGE(F69:G69)</f>
        <v>64.212327499999986</v>
      </c>
      <c r="L69"/>
    </row>
    <row r="70" spans="2:12" ht="13.2" x14ac:dyDescent="0.25">
      <c r="C70" s="204">
        <v>0.36599999999999999</v>
      </c>
      <c r="D70" s="238" t="s">
        <v>99</v>
      </c>
      <c r="E70" s="206"/>
      <c r="F70" s="206"/>
      <c r="G70" s="206"/>
      <c r="H70" s="210"/>
      <c r="K70" s="51"/>
      <c r="L70"/>
    </row>
    <row r="71" spans="2:12" ht="13.2" x14ac:dyDescent="0.25">
      <c r="C71" s="204"/>
      <c r="D71" s="207"/>
      <c r="E71" s="206"/>
      <c r="F71" s="206"/>
      <c r="G71" s="206"/>
      <c r="H71" s="210"/>
      <c r="K71" s="51"/>
      <c r="L71"/>
    </row>
    <row r="72" spans="2:12" ht="13.2" x14ac:dyDescent="0.25">
      <c r="C72" s="204">
        <v>0.32400000000000001</v>
      </c>
      <c r="D72" s="212">
        <v>6672</v>
      </c>
      <c r="E72" s="206">
        <f>AVERAGE(C72:C74)</f>
        <v>0.36549999999999999</v>
      </c>
      <c r="F72" s="206">
        <f>231.92*E72 - 21.072</f>
        <v>63.694759999999988</v>
      </c>
      <c r="G72" s="206">
        <v>59.24425500000001</v>
      </c>
      <c r="H72" s="210">
        <f>AVERAGE(F72:G72)</f>
        <v>61.469507499999999</v>
      </c>
      <c r="K72" s="197"/>
      <c r="L72"/>
    </row>
    <row r="73" spans="2:12" ht="13.2" x14ac:dyDescent="0.25">
      <c r="C73" s="204">
        <v>0.40699999999999997</v>
      </c>
      <c r="D73" s="238" t="s">
        <v>99</v>
      </c>
      <c r="E73" s="206"/>
      <c r="F73" s="206"/>
      <c r="G73" s="206"/>
      <c r="H73" s="210"/>
      <c r="K73" s="197"/>
      <c r="L73"/>
    </row>
    <row r="74" spans="2:12" ht="13.2" x14ac:dyDescent="0.25">
      <c r="C74" s="204"/>
      <c r="D74" s="206"/>
      <c r="E74" s="206"/>
      <c r="F74" s="206"/>
      <c r="G74" s="206"/>
      <c r="H74" s="210"/>
      <c r="K74" s="211"/>
      <c r="L74"/>
    </row>
    <row r="75" spans="2:12" ht="13.2" x14ac:dyDescent="0.25">
      <c r="C75" s="204">
        <v>0.39300000000000002</v>
      </c>
      <c r="D75" s="212">
        <v>6675</v>
      </c>
      <c r="E75" s="206">
        <f>AVERAGE(C75:C77)</f>
        <v>0.3805</v>
      </c>
      <c r="F75" s="206">
        <f>231.92*E75 - 21.072</f>
        <v>67.173559999999995</v>
      </c>
      <c r="G75" s="206">
        <v>59.79802500000001</v>
      </c>
      <c r="H75" s="210">
        <f>AVERAGE(F75:G75)</f>
        <v>63.485792500000002</v>
      </c>
      <c r="K75" s="211"/>
      <c r="L75"/>
    </row>
    <row r="76" spans="2:12" ht="13.2" x14ac:dyDescent="0.25">
      <c r="C76" s="204">
        <v>0.36799999999999999</v>
      </c>
      <c r="D76" s="238" t="s">
        <v>99</v>
      </c>
      <c r="E76" s="206"/>
      <c r="F76" s="206"/>
      <c r="G76" s="206"/>
      <c r="H76" s="210"/>
      <c r="K76" s="211"/>
      <c r="L76"/>
    </row>
    <row r="77" spans="2:12" ht="13.2" x14ac:dyDescent="0.25">
      <c r="C77" s="204"/>
      <c r="D77" s="206"/>
      <c r="E77" s="206"/>
      <c r="F77" s="206"/>
      <c r="G77" s="206"/>
      <c r="H77" s="210"/>
      <c r="K77" s="211"/>
      <c r="L77"/>
    </row>
    <row r="78" spans="2:12" ht="13.2" x14ac:dyDescent="0.25">
      <c r="C78" s="204">
        <v>0.38800000000000001</v>
      </c>
      <c r="D78" s="212">
        <v>6673</v>
      </c>
      <c r="E78" s="206">
        <f>AVERAGE(C78:C80)</f>
        <v>0.39800000000000002</v>
      </c>
      <c r="F78" s="206">
        <f>231.92*E78 - 21.072</f>
        <v>71.232159999999993</v>
      </c>
      <c r="G78" s="206">
        <v>78.718500000000006</v>
      </c>
      <c r="H78" s="210">
        <f>AVERAGE(F78:G78)</f>
        <v>74.97533</v>
      </c>
      <c r="K78" s="211"/>
      <c r="L78"/>
    </row>
    <row r="79" spans="2:12" ht="13.2" x14ac:dyDescent="0.25">
      <c r="C79" s="204">
        <v>0.40799999999999997</v>
      </c>
      <c r="D79" s="238" t="s">
        <v>99</v>
      </c>
      <c r="E79" s="206"/>
      <c r="F79" s="206"/>
      <c r="G79" s="206"/>
      <c r="H79" s="210"/>
      <c r="K79" s="211"/>
      <c r="L79"/>
    </row>
    <row r="80" spans="2:12" ht="13.2" x14ac:dyDescent="0.25">
      <c r="C80" s="204"/>
      <c r="D80" s="207"/>
      <c r="E80" s="206"/>
      <c r="F80" s="206"/>
      <c r="G80" s="206"/>
      <c r="H80" s="210"/>
      <c r="K80" s="211"/>
      <c r="L80"/>
    </row>
    <row r="81" spans="2:11" ht="13.2" x14ac:dyDescent="0.25">
      <c r="C81" s="204">
        <v>0.40899999999999997</v>
      </c>
      <c r="D81" s="212">
        <v>6326</v>
      </c>
      <c r="E81" s="206">
        <f>AVERAGE(C81:C83)</f>
        <v>0.39900000000000002</v>
      </c>
      <c r="F81" s="206">
        <f>231.92*E81 - 21.072</f>
        <v>71.464079999999996</v>
      </c>
      <c r="G81" s="206">
        <v>67.827690000000004</v>
      </c>
      <c r="H81" s="210">
        <f>AVERAGE(F81:G81)</f>
        <v>69.645884999999993</v>
      </c>
      <c r="J81" s="1"/>
      <c r="K81" s="211"/>
    </row>
    <row r="82" spans="2:11" ht="13.2" x14ac:dyDescent="0.25">
      <c r="C82" s="204">
        <v>0.38900000000000001</v>
      </c>
      <c r="D82" s="238" t="s">
        <v>99</v>
      </c>
      <c r="E82" s="206"/>
      <c r="F82" s="206"/>
      <c r="G82" s="206"/>
      <c r="H82" s="210"/>
      <c r="J82" s="1"/>
      <c r="K82" s="197"/>
    </row>
    <row r="83" spans="2:11" ht="13.2" x14ac:dyDescent="0.25">
      <c r="C83" s="204"/>
      <c r="D83" s="207"/>
      <c r="E83" s="206"/>
      <c r="F83" s="206"/>
      <c r="G83" s="206"/>
      <c r="H83" s="210"/>
      <c r="J83" s="1"/>
    </row>
    <row r="84" spans="2:11" ht="13.2" x14ac:dyDescent="0.25">
      <c r="C84" s="204">
        <v>0.39200000000000002</v>
      </c>
      <c r="D84" s="212">
        <v>6481</v>
      </c>
      <c r="E84" s="206">
        <f>AVERAGE(C84:C86)</f>
        <v>0.39750000000000002</v>
      </c>
      <c r="F84" s="206">
        <f>231.92*E84 - 21.072</f>
        <v>71.116199999999992</v>
      </c>
      <c r="G84" s="206">
        <v>66.443264999999997</v>
      </c>
      <c r="H84" s="210">
        <f>AVERAGE(F84:G84)</f>
        <v>68.779732499999994</v>
      </c>
      <c r="J84" s="1"/>
      <c r="K84" s="197"/>
    </row>
    <row r="85" spans="2:11" ht="13.2" x14ac:dyDescent="0.25">
      <c r="C85" s="204">
        <v>0.40300000000000002</v>
      </c>
      <c r="D85" s="238" t="s">
        <v>99</v>
      </c>
      <c r="E85" s="206"/>
      <c r="F85" s="206"/>
      <c r="G85" s="206"/>
      <c r="H85" s="210"/>
      <c r="J85" s="1"/>
    </row>
    <row r="86" spans="2:11" ht="13.2" x14ac:dyDescent="0.25">
      <c r="C86" s="204"/>
      <c r="D86" s="207"/>
      <c r="E86" s="206"/>
      <c r="F86" s="206"/>
      <c r="G86" s="206"/>
      <c r="H86" s="210"/>
      <c r="J86" s="1"/>
      <c r="K86" s="197"/>
    </row>
    <row r="87" spans="2:11" ht="13.2" x14ac:dyDescent="0.25">
      <c r="C87" s="204">
        <v>0.38800000000000001</v>
      </c>
      <c r="D87" s="212">
        <v>6297</v>
      </c>
      <c r="E87" s="206">
        <f>AVERAGE(C87:C89)</f>
        <v>0.30649999999999999</v>
      </c>
      <c r="F87" s="206">
        <f>231.92*E87 - 21.072</f>
        <v>50.011479999999992</v>
      </c>
      <c r="G87" s="206">
        <v>61.64392500000001</v>
      </c>
      <c r="H87" s="210">
        <f>AVERAGE(F87:G87)</f>
        <v>55.827702500000001</v>
      </c>
      <c r="J87" s="1"/>
      <c r="K87" s="197"/>
    </row>
    <row r="88" spans="2:11" ht="13.2" x14ac:dyDescent="0.25">
      <c r="C88" s="204">
        <v>0.22500000000000001</v>
      </c>
      <c r="D88" s="238" t="s">
        <v>99</v>
      </c>
      <c r="E88" s="206"/>
      <c r="F88" s="206"/>
      <c r="G88" s="206"/>
      <c r="H88" s="210"/>
      <c r="J88"/>
      <c r="K88" s="211"/>
    </row>
    <row r="89" spans="2:11" ht="13.2" x14ac:dyDescent="0.25">
      <c r="C89" s="204"/>
      <c r="D89" s="207"/>
      <c r="E89" s="206"/>
      <c r="F89" s="206"/>
      <c r="G89" s="206"/>
      <c r="H89" s="210"/>
      <c r="J89"/>
      <c r="K89" s="211"/>
    </row>
    <row r="90" spans="2:11" ht="13.2" x14ac:dyDescent="0.25">
      <c r="B90" s="218"/>
      <c r="C90" s="204">
        <v>0.502</v>
      </c>
      <c r="D90" s="212">
        <v>6480</v>
      </c>
      <c r="E90" s="206">
        <f>AVERAGE(C90:C92)</f>
        <v>0.38500000000000001</v>
      </c>
      <c r="F90" s="206">
        <f>231.92*E90 - 21.072</f>
        <v>68.217199999999991</v>
      </c>
      <c r="G90" s="206">
        <v>50.476230000000001</v>
      </c>
      <c r="H90" s="210">
        <f>AVERAGE(F90:G90)</f>
        <v>59.346714999999996</v>
      </c>
      <c r="J90"/>
      <c r="K90" s="211"/>
    </row>
    <row r="91" spans="2:11" ht="13.2" x14ac:dyDescent="0.25">
      <c r="C91" s="204">
        <v>0.26800000000000002</v>
      </c>
      <c r="D91" s="238" t="s">
        <v>99</v>
      </c>
      <c r="E91" s="206"/>
      <c r="F91" s="206"/>
      <c r="G91" s="206"/>
      <c r="H91" s="210"/>
      <c r="J91"/>
      <c r="K91" s="211"/>
    </row>
    <row r="92" spans="2:11" ht="13.2" x14ac:dyDescent="0.25">
      <c r="C92" s="204"/>
      <c r="D92" s="207"/>
      <c r="E92" s="206"/>
      <c r="F92" s="206"/>
      <c r="G92" s="206"/>
      <c r="H92" s="210"/>
      <c r="J92"/>
      <c r="K92" s="211"/>
    </row>
    <row r="93" spans="2:11" ht="13.2" x14ac:dyDescent="0.25">
      <c r="C93" s="204">
        <v>0.498</v>
      </c>
      <c r="D93" s="212">
        <v>6327</v>
      </c>
      <c r="E93" s="206">
        <f>AVERAGE(C93:C95)</f>
        <v>0.439</v>
      </c>
      <c r="F93" s="206">
        <f>231.92*E93 - 21.072</f>
        <v>80.74087999999999</v>
      </c>
      <c r="G93" s="206">
        <v>77.518664999999999</v>
      </c>
      <c r="H93" s="210">
        <f>AVERAGE(F93:G93)</f>
        <v>79.129772500000001</v>
      </c>
      <c r="K93" s="211"/>
    </row>
    <row r="94" spans="2:11" ht="13.2" x14ac:dyDescent="0.25">
      <c r="C94" s="204">
        <v>0.38</v>
      </c>
      <c r="D94" s="238" t="s">
        <v>99</v>
      </c>
      <c r="E94" s="206"/>
      <c r="F94" s="206"/>
      <c r="G94" s="206"/>
      <c r="H94" s="210"/>
      <c r="K94" s="211"/>
    </row>
    <row r="95" spans="2:11" ht="13.8" thickBot="1" x14ac:dyDescent="0.3">
      <c r="C95" s="231"/>
      <c r="D95" s="239"/>
      <c r="E95" s="233"/>
      <c r="F95" s="233"/>
      <c r="G95" s="233"/>
      <c r="H95" s="251"/>
      <c r="K95" s="211"/>
    </row>
    <row r="96" spans="2:11" ht="13.2" x14ac:dyDescent="0.25">
      <c r="C96" s="245">
        <v>0.57899999999999996</v>
      </c>
      <c r="D96" s="220">
        <v>6566</v>
      </c>
      <c r="E96" s="240">
        <f>AVERAGE(C96:C98)</f>
        <v>0.58349999999999991</v>
      </c>
      <c r="F96" s="240">
        <f>231.92*E96 - 21.072</f>
        <v>114.25331999999997</v>
      </c>
      <c r="G96" s="240">
        <v>138.71025</v>
      </c>
      <c r="H96" s="209">
        <f>AVERAGE(F96:G96)</f>
        <v>126.48178499999999</v>
      </c>
      <c r="K96" s="197"/>
    </row>
    <row r="97" spans="3:11" x14ac:dyDescent="0.2">
      <c r="C97" s="242">
        <v>0.58799999999999997</v>
      </c>
      <c r="D97" s="219" t="s">
        <v>96</v>
      </c>
      <c r="E97" s="241"/>
      <c r="F97" s="241"/>
      <c r="G97" s="241"/>
      <c r="H97" s="253"/>
      <c r="I97" s="257"/>
    </row>
    <row r="98" spans="3:11" x14ac:dyDescent="0.2">
      <c r="C98" s="242"/>
      <c r="D98" s="246"/>
      <c r="E98" s="241"/>
      <c r="F98" s="241"/>
      <c r="G98" s="241"/>
      <c r="H98" s="253"/>
      <c r="I98" s="257"/>
      <c r="K98" s="213"/>
    </row>
    <row r="99" spans="3:11" ht="13.2" x14ac:dyDescent="0.25">
      <c r="C99" s="242">
        <v>0.50700000000000001</v>
      </c>
      <c r="D99" s="212">
        <v>6646</v>
      </c>
      <c r="E99" s="241">
        <f>AVERAGE(C99:C101)</f>
        <v>0.52950000000000008</v>
      </c>
      <c r="F99" s="241">
        <f>231.92*E99 - 21.072</f>
        <v>101.72964</v>
      </c>
      <c r="G99" s="241">
        <v>101.05389000000001</v>
      </c>
      <c r="H99" s="210">
        <f>AVERAGE(F99:G99)</f>
        <v>101.39176500000001</v>
      </c>
      <c r="K99" s="197"/>
    </row>
    <row r="100" spans="3:11" x14ac:dyDescent="0.2">
      <c r="C100" s="242">
        <v>0.55200000000000005</v>
      </c>
      <c r="D100" s="219" t="s">
        <v>96</v>
      </c>
      <c r="E100" s="241"/>
      <c r="F100" s="241"/>
      <c r="G100" s="241"/>
      <c r="H100" s="253"/>
      <c r="I100" s="257"/>
      <c r="K100" s="197"/>
    </row>
    <row r="101" spans="3:11" x14ac:dyDescent="0.2">
      <c r="C101" s="242"/>
      <c r="D101" s="246"/>
      <c r="E101" s="241"/>
      <c r="F101" s="241"/>
      <c r="G101" s="241"/>
      <c r="H101" s="253"/>
      <c r="I101" s="257"/>
      <c r="K101" s="197"/>
    </row>
    <row r="102" spans="3:11" ht="13.2" x14ac:dyDescent="0.25">
      <c r="C102" s="242">
        <v>0.57399999999999995</v>
      </c>
      <c r="D102" s="212">
        <v>6653</v>
      </c>
      <c r="E102" s="241">
        <f>AVERAGE(C102:C104)</f>
        <v>0.57050000000000001</v>
      </c>
      <c r="F102" s="241">
        <f>231.92*E102 - 21.072</f>
        <v>111.23836</v>
      </c>
      <c r="G102" s="241">
        <v>105.66864</v>
      </c>
      <c r="H102" s="210">
        <f>AVERAGE(F102:G102)</f>
        <v>108.45349999999999</v>
      </c>
      <c r="K102" s="211"/>
    </row>
    <row r="103" spans="3:11" ht="13.2" x14ac:dyDescent="0.25">
      <c r="C103" s="242">
        <v>0.56699999999999995</v>
      </c>
      <c r="D103" s="219" t="s">
        <v>96</v>
      </c>
      <c r="E103" s="241"/>
      <c r="F103" s="241"/>
      <c r="G103" s="241"/>
      <c r="H103" s="253"/>
      <c r="I103" s="257"/>
      <c r="K103" s="211"/>
    </row>
    <row r="104" spans="3:11" ht="13.2" x14ac:dyDescent="0.25">
      <c r="C104" s="242"/>
      <c r="D104" s="241"/>
      <c r="E104" s="241"/>
      <c r="F104" s="241"/>
      <c r="G104" s="241"/>
      <c r="H104" s="253"/>
      <c r="I104" s="257"/>
      <c r="K104" s="211"/>
    </row>
    <row r="105" spans="3:11" ht="13.2" x14ac:dyDescent="0.25">
      <c r="C105" s="242">
        <v>0.46300000000000002</v>
      </c>
      <c r="D105" s="212">
        <v>6651</v>
      </c>
      <c r="E105" s="241">
        <f>AVERAGE(C105:C107)</f>
        <v>0.4415</v>
      </c>
      <c r="F105" s="241">
        <f>231.92*E105 - 21.072</f>
        <v>81.320679999999996</v>
      </c>
      <c r="G105" s="241">
        <v>97.085205000000002</v>
      </c>
      <c r="H105" s="210">
        <f>AVERAGE(F105:G105)</f>
        <v>89.202942500000006</v>
      </c>
      <c r="K105" s="211"/>
    </row>
    <row r="106" spans="3:11" ht="13.2" x14ac:dyDescent="0.25">
      <c r="C106" s="242">
        <v>0.42</v>
      </c>
      <c r="D106" s="219" t="s">
        <v>96</v>
      </c>
      <c r="E106" s="241"/>
      <c r="F106" s="241"/>
      <c r="G106" s="241"/>
      <c r="H106" s="253"/>
      <c r="I106" s="257"/>
      <c r="K106" s="211"/>
    </row>
    <row r="107" spans="3:11" ht="13.2" x14ac:dyDescent="0.25">
      <c r="C107" s="242"/>
      <c r="D107" s="241"/>
      <c r="E107" s="241"/>
      <c r="F107" s="241"/>
      <c r="G107" s="241"/>
      <c r="H107" s="253"/>
      <c r="I107" s="257"/>
      <c r="K107" s="211"/>
    </row>
    <row r="108" spans="3:11" ht="13.2" x14ac:dyDescent="0.25">
      <c r="C108" s="242">
        <v>0.46899999999999997</v>
      </c>
      <c r="D108" s="212">
        <v>6696</v>
      </c>
      <c r="E108" s="241">
        <f>AVERAGE(C108:C110)</f>
        <v>0.53699999999999992</v>
      </c>
      <c r="F108" s="241">
        <f>231.92*E108 - 21.072</f>
        <v>103.46903999999998</v>
      </c>
      <c r="G108" s="241">
        <v>105.022575</v>
      </c>
      <c r="H108" s="210">
        <f>AVERAGE(F108:G108)</f>
        <v>104.24580749999998</v>
      </c>
      <c r="K108" s="211"/>
    </row>
    <row r="109" spans="3:11" ht="13.2" x14ac:dyDescent="0.25">
      <c r="C109" s="242">
        <v>0.60499999999999998</v>
      </c>
      <c r="D109" s="219" t="s">
        <v>96</v>
      </c>
      <c r="E109" s="241"/>
      <c r="F109" s="241"/>
      <c r="G109" s="241"/>
      <c r="H109" s="253"/>
      <c r="I109" s="257"/>
      <c r="K109" s="211"/>
    </row>
    <row r="110" spans="3:11" x14ac:dyDescent="0.2">
      <c r="C110" s="242"/>
      <c r="D110" s="246"/>
      <c r="E110" s="241"/>
      <c r="F110" s="241"/>
      <c r="G110" s="241"/>
      <c r="H110" s="253"/>
      <c r="I110" s="257"/>
      <c r="K110" s="197"/>
    </row>
    <row r="111" spans="3:11" ht="13.2" x14ac:dyDescent="0.25">
      <c r="C111" s="242">
        <v>0.58699999999999997</v>
      </c>
      <c r="D111" s="212">
        <v>6600</v>
      </c>
      <c r="E111" s="241">
        <f>AVERAGE(C111:C113)</f>
        <v>0.59549999999999992</v>
      </c>
      <c r="F111" s="241">
        <f>231.92*E111 - 21.072</f>
        <v>117.03635999999997</v>
      </c>
      <c r="G111" s="241">
        <v>142.40205</v>
      </c>
      <c r="H111" s="210">
        <f>AVERAGE(F111:G111)</f>
        <v>129.71920499999999</v>
      </c>
    </row>
    <row r="112" spans="3:11" ht="13.2" x14ac:dyDescent="0.25">
      <c r="C112" s="242">
        <v>0.60399999999999998</v>
      </c>
      <c r="D112" s="219" t="s">
        <v>96</v>
      </c>
      <c r="E112" s="241"/>
      <c r="F112" s="241"/>
      <c r="G112" s="241"/>
      <c r="H112" s="253"/>
      <c r="I112" s="257"/>
      <c r="J112"/>
      <c r="K112" s="197"/>
    </row>
    <row r="113" spans="3:11" ht="13.2" x14ac:dyDescent="0.25">
      <c r="C113" s="242"/>
      <c r="D113" s="246"/>
      <c r="E113" s="241"/>
      <c r="F113" s="241"/>
      <c r="G113" s="241"/>
      <c r="H113" s="253"/>
      <c r="I113" s="257"/>
      <c r="J113"/>
      <c r="K113" s="213"/>
    </row>
    <row r="114" spans="3:11" ht="13.2" x14ac:dyDescent="0.25">
      <c r="C114" s="242">
        <v>0.41599999999999998</v>
      </c>
      <c r="D114" s="212">
        <v>6652</v>
      </c>
      <c r="E114" s="241">
        <f>AVERAGE(C114:C116)</f>
        <v>0.41699999999999998</v>
      </c>
      <c r="F114" s="241">
        <f>231.92*E114 - 21.072</f>
        <v>75.638639999999981</v>
      </c>
      <c r="G114" s="241">
        <v>82.041119999999992</v>
      </c>
      <c r="H114" s="210">
        <f>AVERAGE(F114:G114)</f>
        <v>78.839879999999994</v>
      </c>
      <c r="J114"/>
      <c r="K114" s="197"/>
    </row>
    <row r="115" spans="3:11" ht="13.2" x14ac:dyDescent="0.25">
      <c r="C115" s="242">
        <v>0.41799999999999998</v>
      </c>
      <c r="D115" s="219" t="s">
        <v>96</v>
      </c>
      <c r="E115" s="241"/>
      <c r="F115" s="241"/>
      <c r="G115" s="241"/>
      <c r="H115" s="253"/>
      <c r="I115" s="257"/>
      <c r="J115"/>
      <c r="K115" s="197"/>
    </row>
    <row r="116" spans="3:11" ht="13.2" x14ac:dyDescent="0.25">
      <c r="C116" s="242"/>
      <c r="D116" s="246"/>
      <c r="E116" s="241"/>
      <c r="F116" s="241"/>
      <c r="G116" s="241"/>
      <c r="H116" s="253"/>
      <c r="I116" s="257"/>
      <c r="J116"/>
      <c r="K116" s="211"/>
    </row>
    <row r="117" spans="3:11" ht="13.2" x14ac:dyDescent="0.25">
      <c r="C117" s="242">
        <v>0.54</v>
      </c>
      <c r="D117" s="212">
        <v>6649</v>
      </c>
      <c r="E117" s="241">
        <f>AVERAGE(C117:C119)</f>
        <v>0.49050000000000005</v>
      </c>
      <c r="F117" s="241">
        <f>231.92*E117 - 21.072</f>
        <v>92.684759999999997</v>
      </c>
      <c r="G117" s="241">
        <v>97.269795000000016</v>
      </c>
      <c r="H117" s="210">
        <f>AVERAGE(F117:G117)</f>
        <v>94.977277500000014</v>
      </c>
      <c r="J117"/>
      <c r="K117" s="211"/>
    </row>
    <row r="118" spans="3:11" ht="13.2" x14ac:dyDescent="0.25">
      <c r="C118" s="242">
        <v>0.441</v>
      </c>
      <c r="D118" s="219" t="s">
        <v>96</v>
      </c>
      <c r="E118" s="241"/>
      <c r="F118" s="241"/>
      <c r="G118" s="241"/>
      <c r="H118" s="253"/>
      <c r="I118" s="257"/>
      <c r="J118"/>
      <c r="K118" s="211"/>
    </row>
    <row r="119" spans="3:11" ht="13.8" thickBot="1" x14ac:dyDescent="0.3">
      <c r="C119" s="247"/>
      <c r="D119" s="248"/>
      <c r="E119" s="249"/>
      <c r="F119" s="249"/>
      <c r="G119" s="249"/>
      <c r="H119" s="255"/>
      <c r="I119" s="257"/>
      <c r="J119"/>
      <c r="K119" s="211"/>
    </row>
    <row r="120" spans="3:11" ht="13.2" x14ac:dyDescent="0.25">
      <c r="C120" s="245">
        <v>0.33500000000000002</v>
      </c>
      <c r="D120" s="220">
        <v>6648</v>
      </c>
      <c r="E120" s="240">
        <f>AVERAGE(C120:C122)</f>
        <v>0.33950000000000002</v>
      </c>
      <c r="F120" s="240">
        <f>231.92*E120 - 21.072</f>
        <v>57.664839999999998</v>
      </c>
      <c r="G120" s="240">
        <v>47.615085000000008</v>
      </c>
      <c r="H120" s="209">
        <f>AVERAGE(F120:G120)</f>
        <v>52.639962500000003</v>
      </c>
      <c r="J120"/>
      <c r="K120" s="211"/>
    </row>
    <row r="121" spans="3:11" ht="13.2" x14ac:dyDescent="0.25">
      <c r="C121" s="242">
        <v>0.34399999999999997</v>
      </c>
      <c r="D121" s="237" t="s">
        <v>97</v>
      </c>
      <c r="E121" s="241"/>
      <c r="F121" s="241"/>
      <c r="G121" s="241"/>
      <c r="H121" s="253"/>
      <c r="I121" s="257"/>
      <c r="J121"/>
      <c r="K121" s="211"/>
    </row>
    <row r="122" spans="3:11" ht="13.2" x14ac:dyDescent="0.25">
      <c r="C122" s="242"/>
      <c r="D122" s="246"/>
      <c r="E122" s="241"/>
      <c r="F122" s="241"/>
      <c r="G122" s="241"/>
      <c r="H122" s="253"/>
      <c r="I122" s="257"/>
      <c r="J122"/>
      <c r="K122" s="211"/>
    </row>
    <row r="123" spans="3:11" ht="13.2" x14ac:dyDescent="0.25">
      <c r="C123" s="242">
        <v>0.27600000000000002</v>
      </c>
      <c r="D123" s="212">
        <v>6550</v>
      </c>
      <c r="E123" s="241">
        <f>AVERAGE(C123:C125)</f>
        <v>0.29149999999999998</v>
      </c>
      <c r="F123" s="241">
        <f>231.92*E123 - 21.072</f>
        <v>46.532679999999985</v>
      </c>
      <c r="G123" s="241">
        <v>49.091804999999994</v>
      </c>
      <c r="H123" s="210">
        <f>AVERAGE(F123:G123)</f>
        <v>47.812242499999989</v>
      </c>
      <c r="J123"/>
      <c r="K123" s="211"/>
    </row>
    <row r="124" spans="3:11" x14ac:dyDescent="0.2">
      <c r="C124" s="242">
        <v>0.307</v>
      </c>
      <c r="D124" s="237" t="s">
        <v>97</v>
      </c>
      <c r="E124" s="241"/>
      <c r="F124" s="241"/>
      <c r="G124" s="241"/>
      <c r="H124" s="253"/>
      <c r="I124" s="257"/>
      <c r="K124" s="197"/>
    </row>
    <row r="125" spans="3:11" x14ac:dyDescent="0.2">
      <c r="C125" s="242"/>
      <c r="D125" s="246"/>
      <c r="E125" s="241"/>
      <c r="F125" s="241"/>
      <c r="G125" s="241"/>
      <c r="H125" s="253"/>
      <c r="I125" s="257"/>
    </row>
    <row r="126" spans="3:11" ht="13.2" x14ac:dyDescent="0.25">
      <c r="C126" s="242">
        <v>0.36299999999999999</v>
      </c>
      <c r="D126" s="212">
        <v>6592</v>
      </c>
      <c r="E126" s="241">
        <f>AVERAGE(C126:C128)</f>
        <v>0.39349999999999996</v>
      </c>
      <c r="F126" s="241">
        <f>231.92*E126 - 21.072</f>
        <v>70.188519999999983</v>
      </c>
      <c r="G126" s="241">
        <v>68.104574999999997</v>
      </c>
      <c r="H126" s="210">
        <f>AVERAGE(F126:G126)</f>
        <v>69.146547499999997</v>
      </c>
      <c r="K126" s="213"/>
    </row>
    <row r="127" spans="3:11" x14ac:dyDescent="0.2">
      <c r="C127" s="242">
        <v>0.42399999999999999</v>
      </c>
      <c r="D127" s="237" t="s">
        <v>97</v>
      </c>
      <c r="E127" s="241"/>
      <c r="F127" s="241"/>
      <c r="G127" s="241"/>
      <c r="H127" s="253"/>
      <c r="I127" s="257"/>
      <c r="K127" s="197"/>
    </row>
    <row r="128" spans="3:11" x14ac:dyDescent="0.2">
      <c r="C128" s="242"/>
      <c r="D128" s="241"/>
      <c r="E128" s="241"/>
      <c r="F128" s="241"/>
      <c r="G128" s="241"/>
      <c r="H128" s="253"/>
      <c r="I128" s="257"/>
    </row>
    <row r="129" spans="3:9" ht="13.2" x14ac:dyDescent="0.25">
      <c r="C129" s="242">
        <v>0.30599999999999999</v>
      </c>
      <c r="D129" s="212">
        <v>6599</v>
      </c>
      <c r="E129" s="241">
        <f>AVERAGE(C129:C131)</f>
        <v>0.32499999999999996</v>
      </c>
      <c r="F129" s="241">
        <f>231.92*E129 - 21.072</f>
        <v>54.301999999999978</v>
      </c>
      <c r="G129" s="241">
        <v>62.474580000000003</v>
      </c>
      <c r="H129" s="210">
        <f>AVERAGE(F129:G129)</f>
        <v>58.388289999999991</v>
      </c>
    </row>
    <row r="130" spans="3:9" x14ac:dyDescent="0.2">
      <c r="C130" s="242">
        <v>0.34399999999999997</v>
      </c>
      <c r="D130" s="237" t="s">
        <v>97</v>
      </c>
      <c r="E130" s="241"/>
      <c r="F130" s="241"/>
      <c r="G130" s="241"/>
      <c r="H130" s="253"/>
      <c r="I130" s="257"/>
    </row>
    <row r="131" spans="3:9" x14ac:dyDescent="0.2">
      <c r="C131" s="242"/>
      <c r="D131" s="241"/>
      <c r="E131" s="241"/>
      <c r="F131" s="241"/>
      <c r="G131" s="241"/>
      <c r="H131" s="253"/>
      <c r="I131" s="257"/>
    </row>
    <row r="132" spans="3:9" ht="13.2" x14ac:dyDescent="0.25">
      <c r="C132" s="242">
        <v>0.17199999999999999</v>
      </c>
      <c r="D132" s="212">
        <v>6502</v>
      </c>
      <c r="E132" s="241">
        <f>AVERAGE(C132:C134)</f>
        <v>0.377</v>
      </c>
      <c r="F132" s="241">
        <f>231.92*E132 - 21.072</f>
        <v>66.361839999999987</v>
      </c>
      <c r="G132" s="241">
        <v>38.939355000000006</v>
      </c>
      <c r="H132" s="210">
        <f>AVERAGE(F132:G132)</f>
        <v>52.650597499999996</v>
      </c>
    </row>
    <row r="133" spans="3:9" x14ac:dyDescent="0.2">
      <c r="C133" s="242">
        <v>0.58199999999999996</v>
      </c>
      <c r="D133" s="237" t="s">
        <v>97</v>
      </c>
      <c r="E133" s="241"/>
      <c r="F133" s="241"/>
      <c r="G133" s="241"/>
      <c r="H133" s="253"/>
      <c r="I133" s="257"/>
    </row>
    <row r="134" spans="3:9" x14ac:dyDescent="0.2">
      <c r="C134" s="242"/>
      <c r="D134" s="246"/>
      <c r="E134" s="241"/>
      <c r="F134" s="241"/>
      <c r="G134" s="241"/>
      <c r="H134" s="253"/>
      <c r="I134" s="257"/>
    </row>
    <row r="135" spans="3:9" ht="13.2" x14ac:dyDescent="0.25">
      <c r="C135" s="242">
        <v>0.25800000000000001</v>
      </c>
      <c r="D135" s="212">
        <v>6504</v>
      </c>
      <c r="E135" s="241">
        <f>AVERAGE(C135:C137)</f>
        <v>0.2505</v>
      </c>
      <c r="F135" s="241">
        <f>231.92*E135 - 21.072</f>
        <v>37.023960000000002</v>
      </c>
      <c r="G135" s="241">
        <v>39.493125000000006</v>
      </c>
      <c r="H135" s="210">
        <f>AVERAGE(F135:G135)</f>
        <v>38.258542500000004</v>
      </c>
    </row>
    <row r="136" spans="3:9" x14ac:dyDescent="0.2">
      <c r="C136" s="242">
        <v>0.24299999999999999</v>
      </c>
      <c r="D136" s="237" t="s">
        <v>97</v>
      </c>
      <c r="E136" s="241"/>
      <c r="F136" s="241"/>
      <c r="G136" s="241"/>
      <c r="H136" s="253"/>
      <c r="I136" s="257"/>
    </row>
    <row r="137" spans="3:9" x14ac:dyDescent="0.2">
      <c r="C137" s="242"/>
      <c r="D137" s="246"/>
      <c r="E137" s="241"/>
      <c r="F137" s="241"/>
      <c r="G137" s="241"/>
      <c r="H137" s="253"/>
      <c r="I137" s="257"/>
    </row>
    <row r="138" spans="3:9" ht="13.2" x14ac:dyDescent="0.25">
      <c r="C138" s="242">
        <v>0.24299999999999999</v>
      </c>
      <c r="D138" s="212">
        <v>6501</v>
      </c>
      <c r="E138" s="241">
        <f>AVERAGE(C138:C140)</f>
        <v>0.28249999999999997</v>
      </c>
      <c r="F138" s="241">
        <f>231.92*E138 - 21.072</f>
        <v>44.445399999999992</v>
      </c>
      <c r="G138" s="241">
        <v>44.93853</v>
      </c>
      <c r="H138" s="210">
        <f>AVERAGE(F138:G138)</f>
        <v>44.691964999999996</v>
      </c>
    </row>
    <row r="139" spans="3:9" x14ac:dyDescent="0.2">
      <c r="C139" s="242">
        <v>0.32200000000000001</v>
      </c>
      <c r="D139" s="237" t="s">
        <v>97</v>
      </c>
      <c r="E139" s="241"/>
      <c r="F139" s="241"/>
      <c r="G139" s="241"/>
      <c r="H139" s="253"/>
      <c r="I139" s="257"/>
    </row>
    <row r="140" spans="3:9" x14ac:dyDescent="0.2">
      <c r="C140" s="242"/>
      <c r="D140" s="246"/>
      <c r="E140" s="241"/>
      <c r="F140" s="241"/>
      <c r="G140" s="241"/>
      <c r="H140" s="253"/>
      <c r="I140" s="257"/>
    </row>
    <row r="141" spans="3:9" ht="13.2" x14ac:dyDescent="0.25">
      <c r="C141" s="242">
        <v>0.28599999999999998</v>
      </c>
      <c r="D141" s="212">
        <v>6499</v>
      </c>
      <c r="E141" s="241">
        <f>AVERAGE(C141:C143)</f>
        <v>0.28999999999999998</v>
      </c>
      <c r="F141" s="241">
        <f>231.92*E141 - 21.072</f>
        <v>46.184799999999996</v>
      </c>
      <c r="G141" s="241">
        <v>58.413600000000002</v>
      </c>
      <c r="H141" s="210">
        <f>AVERAGE(F141:G141)</f>
        <v>52.299199999999999</v>
      </c>
    </row>
    <row r="142" spans="3:9" x14ac:dyDescent="0.2">
      <c r="C142" s="242">
        <v>0.29399999999999998</v>
      </c>
      <c r="D142" s="237" t="s">
        <v>97</v>
      </c>
      <c r="E142" s="241"/>
      <c r="F142" s="241"/>
      <c r="G142" s="241"/>
      <c r="H142" s="253"/>
      <c r="I142" s="257"/>
    </row>
    <row r="143" spans="3:9" ht="10.8" thickBot="1" x14ac:dyDescent="0.25">
      <c r="C143" s="247"/>
      <c r="D143" s="248"/>
      <c r="E143" s="249"/>
      <c r="F143" s="249"/>
      <c r="G143" s="249"/>
      <c r="H143" s="255"/>
      <c r="I143" s="257"/>
    </row>
    <row r="144" spans="3:9" ht="13.2" x14ac:dyDescent="0.25">
      <c r="C144" s="245">
        <v>0.34300000000000003</v>
      </c>
      <c r="D144" s="220">
        <v>6508</v>
      </c>
      <c r="E144" s="240">
        <f>AVERAGE(C144:C146)</f>
        <v>0.33350000000000002</v>
      </c>
      <c r="F144" s="240">
        <f>231.92*E144 - 21.072</f>
        <v>56.273319999999998</v>
      </c>
      <c r="G144" s="240">
        <v>48.168855000000008</v>
      </c>
      <c r="H144" s="209">
        <f>AVERAGE(F144:G144)</f>
        <v>52.221087500000003</v>
      </c>
    </row>
    <row r="145" spans="3:11" x14ac:dyDescent="0.2">
      <c r="C145" s="242">
        <v>0.32400000000000001</v>
      </c>
      <c r="D145" s="221" t="s">
        <v>98</v>
      </c>
      <c r="E145" s="241"/>
      <c r="F145" s="241"/>
      <c r="G145" s="241"/>
      <c r="H145" s="253"/>
      <c r="I145" s="257"/>
    </row>
    <row r="146" spans="3:11" x14ac:dyDescent="0.2">
      <c r="C146" s="242"/>
      <c r="D146" s="246"/>
      <c r="E146" s="241"/>
      <c r="F146" s="241"/>
      <c r="G146" s="241"/>
      <c r="H146" s="253"/>
      <c r="I146" s="257"/>
    </row>
    <row r="147" spans="3:11" ht="13.2" x14ac:dyDescent="0.25">
      <c r="C147" s="242">
        <v>0.26500000000000001</v>
      </c>
      <c r="D147" s="212">
        <v>6555</v>
      </c>
      <c r="E147" s="241">
        <f>AVERAGE(C147:C149)</f>
        <v>0.25950000000000001</v>
      </c>
      <c r="F147" s="241">
        <f>231.92*E147 - 21.072</f>
        <v>39.111239999999995</v>
      </c>
      <c r="G147" s="241">
        <v>56.844585000000009</v>
      </c>
      <c r="H147" s="210">
        <f>AVERAGE(F147:G147)</f>
        <v>47.977912500000002</v>
      </c>
    </row>
    <row r="148" spans="3:11" x14ac:dyDescent="0.2">
      <c r="C148" s="242">
        <v>0.254</v>
      </c>
      <c r="D148" s="221" t="s">
        <v>98</v>
      </c>
      <c r="E148" s="241"/>
      <c r="F148" s="241"/>
      <c r="G148" s="241"/>
      <c r="H148" s="253"/>
      <c r="I148" s="257"/>
    </row>
    <row r="149" spans="3:11" x14ac:dyDescent="0.2">
      <c r="C149" s="242"/>
      <c r="D149" s="246"/>
      <c r="E149" s="241"/>
      <c r="F149" s="241"/>
      <c r="G149" s="241"/>
      <c r="H149" s="253"/>
      <c r="I149" s="257"/>
    </row>
    <row r="150" spans="3:11" ht="13.2" x14ac:dyDescent="0.25">
      <c r="C150" s="242">
        <v>0.251</v>
      </c>
      <c r="D150" s="212">
        <v>6550</v>
      </c>
      <c r="E150" s="241">
        <f>AVERAGE(C150:C152)</f>
        <v>0.27149999999999996</v>
      </c>
      <c r="F150" s="241">
        <f>231.92*E150 - 21.072</f>
        <v>41.894279999999995</v>
      </c>
      <c r="G150" s="241">
        <v>44.477055000000007</v>
      </c>
      <c r="H150" s="210">
        <f>AVERAGE(F150:G150)</f>
        <v>43.185667500000001</v>
      </c>
      <c r="J150" s="197"/>
    </row>
    <row r="151" spans="3:11" x14ac:dyDescent="0.2">
      <c r="C151" s="242">
        <v>0.29199999999999998</v>
      </c>
      <c r="D151" s="221" t="s">
        <v>98</v>
      </c>
      <c r="E151" s="241"/>
      <c r="F151" s="241"/>
      <c r="G151" s="241"/>
      <c r="H151" s="253"/>
      <c r="I151" s="257"/>
      <c r="J151" s="197"/>
    </row>
    <row r="152" spans="3:11" ht="13.2" x14ac:dyDescent="0.25">
      <c r="C152" s="242"/>
      <c r="D152" s="241"/>
      <c r="E152" s="241"/>
      <c r="F152" s="241"/>
      <c r="G152" s="241"/>
      <c r="H152" s="253"/>
      <c r="I152" s="257"/>
      <c r="J152" s="211"/>
    </row>
    <row r="153" spans="3:11" ht="13.2" x14ac:dyDescent="0.25">
      <c r="C153" s="242">
        <v>0.23200000000000001</v>
      </c>
      <c r="D153" s="212">
        <v>6667</v>
      </c>
      <c r="E153" s="241">
        <f>AVERAGE(C153:C155)</f>
        <v>0.27750000000000002</v>
      </c>
      <c r="F153" s="241">
        <f>231.92*E153 - 21.072</f>
        <v>43.285799999999995</v>
      </c>
      <c r="G153" s="241">
        <v>46.04607</v>
      </c>
      <c r="H153" s="210">
        <f>AVERAGE(F153:G153)</f>
        <v>44.665934999999998</v>
      </c>
      <c r="J153" s="211"/>
    </row>
    <row r="154" spans="3:11" ht="13.2" x14ac:dyDescent="0.25">
      <c r="C154" s="242">
        <v>0.32300000000000001</v>
      </c>
      <c r="D154" s="221" t="s">
        <v>98</v>
      </c>
      <c r="E154" s="241"/>
      <c r="F154" s="241"/>
      <c r="G154" s="241"/>
      <c r="H154" s="253"/>
      <c r="I154" s="257"/>
      <c r="J154" s="211"/>
    </row>
    <row r="155" spans="3:11" ht="13.2" x14ac:dyDescent="0.25">
      <c r="C155" s="242"/>
      <c r="D155" s="241"/>
      <c r="E155" s="241"/>
      <c r="F155" s="241"/>
      <c r="G155" s="241"/>
      <c r="H155" s="253"/>
      <c r="I155" s="257"/>
      <c r="J155" s="211"/>
    </row>
    <row r="156" spans="3:11" ht="13.2" x14ac:dyDescent="0.25">
      <c r="C156" s="242">
        <v>0.27900000000000003</v>
      </c>
      <c r="D156" s="212">
        <v>6608</v>
      </c>
      <c r="E156" s="241">
        <f>AVERAGE(C156:C158)</f>
        <v>0.27250000000000002</v>
      </c>
      <c r="F156" s="241">
        <f>231.92*E156 - 21.072</f>
        <v>42.126199999999997</v>
      </c>
      <c r="G156" s="241">
        <v>45.30771</v>
      </c>
      <c r="H156" s="210">
        <f>AVERAGE(F156:G156)</f>
        <v>43.716954999999999</v>
      </c>
      <c r="J156" s="211"/>
      <c r="K156" s="1"/>
    </row>
    <row r="157" spans="3:11" ht="13.2" x14ac:dyDescent="0.25">
      <c r="C157" s="242">
        <v>0.26600000000000001</v>
      </c>
      <c r="D157" s="221" t="s">
        <v>98</v>
      </c>
      <c r="E157" s="241"/>
      <c r="F157" s="241"/>
      <c r="G157" s="241"/>
      <c r="H157" s="253"/>
      <c r="I157" s="257"/>
      <c r="J157" s="211"/>
      <c r="K157" s="1"/>
    </row>
    <row r="158" spans="3:11" ht="13.2" x14ac:dyDescent="0.25">
      <c r="C158" s="242"/>
      <c r="D158" s="246"/>
      <c r="E158" s="241"/>
      <c r="F158" s="241"/>
      <c r="G158" s="241"/>
      <c r="H158" s="253"/>
      <c r="I158" s="257"/>
      <c r="J158" s="211"/>
      <c r="K158" s="1"/>
    </row>
    <row r="159" spans="3:11" ht="13.2" x14ac:dyDescent="0.25">
      <c r="C159" s="242">
        <v>0.28599999999999998</v>
      </c>
      <c r="D159" s="212">
        <v>6596</v>
      </c>
      <c r="E159" s="241">
        <f>AVERAGE(C159:C161)</f>
        <v>0.29899999999999999</v>
      </c>
      <c r="F159" s="241">
        <f>231.92*E159 - 21.072</f>
        <v>48.272079999999988</v>
      </c>
      <c r="G159" s="241">
        <v>41.339025000000007</v>
      </c>
      <c r="H159" s="210">
        <f>AVERAGE(F159:G159)</f>
        <v>44.805552499999997</v>
      </c>
      <c r="J159" s="211"/>
      <c r="K159" s="1"/>
    </row>
    <row r="160" spans="3:11" ht="13.2" x14ac:dyDescent="0.25">
      <c r="C160" s="242">
        <v>0.312</v>
      </c>
      <c r="D160" s="221" t="s">
        <v>98</v>
      </c>
      <c r="E160" s="241"/>
      <c r="F160" s="241"/>
      <c r="G160" s="241"/>
      <c r="H160" s="253"/>
      <c r="I160" s="257"/>
      <c r="J160" s="197"/>
      <c r="K160" s="1"/>
    </row>
    <row r="161" spans="3:11" ht="13.2" x14ac:dyDescent="0.25">
      <c r="C161" s="242"/>
      <c r="D161" s="246"/>
      <c r="E161" s="241"/>
      <c r="F161" s="241"/>
      <c r="G161" s="241"/>
      <c r="H161" s="253"/>
      <c r="I161" s="257"/>
      <c r="J161"/>
      <c r="K161" s="1"/>
    </row>
    <row r="162" spans="3:11" ht="13.2" x14ac:dyDescent="0.25">
      <c r="C162" s="242">
        <v>0.29499999999999998</v>
      </c>
      <c r="D162" s="212">
        <v>6594</v>
      </c>
      <c r="E162" s="241">
        <f>AVERAGE(C162:C164)</f>
        <v>0.27300000000000002</v>
      </c>
      <c r="F162" s="241">
        <f>231.92*E162 - 21.072</f>
        <v>42.242159999999998</v>
      </c>
      <c r="G162" s="241"/>
      <c r="H162" s="256">
        <f>AVERAGE(F162:G162)</f>
        <v>42.242159999999998</v>
      </c>
      <c r="I162" s="258"/>
      <c r="J162"/>
      <c r="K162" s="1"/>
    </row>
    <row r="163" spans="3:11" x14ac:dyDescent="0.2">
      <c r="C163" s="242">
        <v>0.251</v>
      </c>
      <c r="D163" s="221" t="s">
        <v>98</v>
      </c>
      <c r="E163" s="241"/>
      <c r="F163" s="241"/>
      <c r="G163" s="241"/>
      <c r="H163" s="253"/>
      <c r="I163" s="257"/>
    </row>
    <row r="164" spans="3:11" ht="10.8" thickBot="1" x14ac:dyDescent="0.25">
      <c r="C164" s="243"/>
      <c r="D164" s="250"/>
      <c r="E164" s="244"/>
      <c r="F164" s="244"/>
      <c r="G164" s="244"/>
      <c r="H164" s="254"/>
      <c r="I164" s="257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96"/>
  <sheetViews>
    <sheetView topLeftCell="A82" workbookViewId="0">
      <selection activeCell="D85" sqref="D85:D95"/>
    </sheetView>
  </sheetViews>
  <sheetFormatPr defaultRowHeight="13.2" x14ac:dyDescent="0.25"/>
  <cols>
    <col min="1" max="1" width="22.77734375" customWidth="1"/>
    <col min="3" max="3" width="21.5546875" customWidth="1"/>
    <col min="4" max="4" width="11.77734375" customWidth="1"/>
    <col min="5" max="5" width="15.21875" customWidth="1"/>
    <col min="6" max="6" width="16" customWidth="1"/>
  </cols>
  <sheetData>
    <row r="1" spans="1:6" ht="15" x14ac:dyDescent="0.25">
      <c r="A1" s="282" t="s">
        <v>101</v>
      </c>
      <c r="B1" s="168"/>
      <c r="C1" s="168"/>
      <c r="D1" s="65" t="s">
        <v>102</v>
      </c>
      <c r="E1" s="8"/>
      <c r="F1" s="8"/>
    </row>
    <row r="2" spans="1:6" ht="20.399999999999999" x14ac:dyDescent="0.25">
      <c r="A2" s="283"/>
      <c r="B2" s="168"/>
      <c r="C2" s="168"/>
      <c r="D2" s="65" t="s">
        <v>103</v>
      </c>
      <c r="E2" s="8"/>
      <c r="F2" s="8"/>
    </row>
    <row r="3" spans="1:6" x14ac:dyDescent="0.25">
      <c r="A3" s="284" t="s">
        <v>35</v>
      </c>
      <c r="B3" s="285" t="s">
        <v>36</v>
      </c>
      <c r="C3" s="285" t="s">
        <v>104</v>
      </c>
      <c r="D3" s="286" t="s">
        <v>104</v>
      </c>
      <c r="E3" s="8"/>
      <c r="F3" s="8"/>
    </row>
    <row r="4" spans="1:6" x14ac:dyDescent="0.25">
      <c r="A4" s="142" t="s">
        <v>37</v>
      </c>
      <c r="B4" s="64">
        <v>143.5</v>
      </c>
      <c r="C4" s="64" t="s">
        <v>105</v>
      </c>
      <c r="D4" s="64" t="s">
        <v>105</v>
      </c>
    </row>
    <row r="5" spans="1:6" x14ac:dyDescent="0.25">
      <c r="A5" s="142"/>
      <c r="B5" s="64">
        <v>132.5</v>
      </c>
      <c r="C5" s="64" t="s">
        <v>105</v>
      </c>
      <c r="D5" s="1"/>
    </row>
    <row r="6" spans="1:6" x14ac:dyDescent="0.25">
      <c r="A6" s="142" t="s">
        <v>106</v>
      </c>
      <c r="B6" s="64">
        <v>17000</v>
      </c>
      <c r="C6" s="64">
        <v>79097.320000000007</v>
      </c>
      <c r="D6" s="65">
        <f>AVERAGE(C6:C7)</f>
        <v>76051.875</v>
      </c>
      <c r="E6" s="262"/>
    </row>
    <row r="7" spans="1:6" x14ac:dyDescent="0.25">
      <c r="A7" s="142"/>
      <c r="B7" s="64">
        <v>16938</v>
      </c>
      <c r="C7" s="64">
        <v>73006.429999999993</v>
      </c>
      <c r="D7" s="1"/>
      <c r="F7" s="649"/>
    </row>
    <row r="8" spans="1:6" x14ac:dyDescent="0.25">
      <c r="A8" s="142" t="s">
        <v>107</v>
      </c>
      <c r="B8" s="64">
        <v>14392</v>
      </c>
      <c r="C8" s="64">
        <v>18275.68</v>
      </c>
      <c r="D8" s="65">
        <f>AVERAGE(C8:C9)</f>
        <v>23276.834999999999</v>
      </c>
    </row>
    <row r="9" spans="1:6" x14ac:dyDescent="0.25">
      <c r="A9" s="263"/>
      <c r="B9" s="64">
        <v>15580</v>
      </c>
      <c r="C9" s="64">
        <v>28277.99</v>
      </c>
      <c r="D9" s="65"/>
      <c r="F9" s="55"/>
    </row>
    <row r="10" spans="1:6" x14ac:dyDescent="0.25">
      <c r="A10" s="142" t="s">
        <v>108</v>
      </c>
      <c r="B10" s="64">
        <v>9250.5</v>
      </c>
      <c r="C10" s="64">
        <v>5601.48</v>
      </c>
      <c r="D10" s="65">
        <f>AVERAGE(C10:C11)</f>
        <v>5156.4549999999999</v>
      </c>
    </row>
    <row r="11" spans="1:6" x14ac:dyDescent="0.25">
      <c r="A11" s="263"/>
      <c r="B11" s="64">
        <v>8402</v>
      </c>
      <c r="C11" s="64">
        <v>4711.43</v>
      </c>
      <c r="D11" s="65"/>
    </row>
    <row r="12" spans="1:6" x14ac:dyDescent="0.25">
      <c r="A12" s="142" t="s">
        <v>109</v>
      </c>
      <c r="B12" s="64">
        <v>3544.5</v>
      </c>
      <c r="C12" s="64">
        <v>1359.55</v>
      </c>
      <c r="D12" s="65">
        <f>AVERAGE(C12:C13)</f>
        <v>1348.7950000000001</v>
      </c>
    </row>
    <row r="13" spans="1:6" x14ac:dyDescent="0.25">
      <c r="A13" s="142"/>
      <c r="B13" s="64">
        <v>3501</v>
      </c>
      <c r="C13" s="64">
        <v>1338.04</v>
      </c>
      <c r="D13" s="65"/>
    </row>
    <row r="14" spans="1:6" x14ac:dyDescent="0.25">
      <c r="A14" s="142" t="s">
        <v>110</v>
      </c>
      <c r="B14" s="64">
        <v>1312</v>
      </c>
      <c r="C14" s="64">
        <v>387.01</v>
      </c>
      <c r="D14" s="65">
        <f>AVERAGE(C14:C15)</f>
        <v>336.995</v>
      </c>
      <c r="E14" s="264"/>
      <c r="F14" s="264"/>
    </row>
    <row r="15" spans="1:6" x14ac:dyDescent="0.25">
      <c r="A15" s="142"/>
      <c r="B15" s="64">
        <v>1040</v>
      </c>
      <c r="C15" s="64">
        <v>286.98</v>
      </c>
      <c r="D15" s="65"/>
      <c r="E15" s="164"/>
      <c r="F15" s="164"/>
    </row>
    <row r="16" spans="1:6" x14ac:dyDescent="0.25">
      <c r="A16" s="142" t="s">
        <v>111</v>
      </c>
      <c r="B16" s="64">
        <v>422.5</v>
      </c>
      <c r="C16" s="64">
        <v>80.099999999999994</v>
      </c>
      <c r="D16" s="65">
        <f>AVERAGE(C16:C17)</f>
        <v>75.794999999999987</v>
      </c>
      <c r="E16" s="164"/>
      <c r="F16" s="164"/>
    </row>
    <row r="17" spans="1:6" x14ac:dyDescent="0.25">
      <c r="A17" s="142" t="s">
        <v>28</v>
      </c>
      <c r="B17" s="64">
        <v>394</v>
      </c>
      <c r="C17" s="64">
        <v>71.489999999999995</v>
      </c>
      <c r="D17" s="1"/>
      <c r="E17" s="164"/>
      <c r="F17" s="164"/>
    </row>
    <row r="18" spans="1:6" x14ac:dyDescent="0.25">
      <c r="A18" s="142" t="s">
        <v>112</v>
      </c>
      <c r="B18" s="64">
        <v>234</v>
      </c>
      <c r="C18" s="64">
        <v>25.93</v>
      </c>
      <c r="D18" s="65">
        <f>AVERAGE(C18:C19)</f>
        <v>22.405000000000001</v>
      </c>
      <c r="E18" s="164"/>
      <c r="F18" s="164"/>
    </row>
    <row r="19" spans="1:6" x14ac:dyDescent="0.25">
      <c r="A19" s="142"/>
      <c r="B19" s="64">
        <v>207</v>
      </c>
      <c r="C19" s="64">
        <v>18.88</v>
      </c>
      <c r="D19" s="65"/>
      <c r="E19" s="164"/>
      <c r="F19" s="166"/>
    </row>
    <row r="20" spans="1:6" x14ac:dyDescent="0.25">
      <c r="A20" s="142" t="s">
        <v>28</v>
      </c>
      <c r="B20" s="104"/>
      <c r="C20" s="104"/>
      <c r="D20" s="65"/>
      <c r="E20" s="164"/>
      <c r="F20" s="164"/>
    </row>
    <row r="21" spans="1:6" x14ac:dyDescent="0.25">
      <c r="A21" s="63"/>
      <c r="B21" s="104"/>
      <c r="C21" s="104" t="s">
        <v>229</v>
      </c>
      <c r="D21" s="65" t="s">
        <v>227</v>
      </c>
      <c r="E21" s="51"/>
      <c r="F21" s="51"/>
    </row>
    <row r="22" spans="1:6" ht="13.8" thickBot="1" x14ac:dyDescent="0.3">
      <c r="A22" s="265"/>
      <c r="B22" s="64"/>
      <c r="C22" s="64"/>
      <c r="D22" s="1" t="s">
        <v>228</v>
      </c>
      <c r="E22" s="622"/>
      <c r="F22" s="622"/>
    </row>
    <row r="23" spans="1:6" x14ac:dyDescent="0.25">
      <c r="A23" s="266" t="s">
        <v>115</v>
      </c>
      <c r="B23" s="66">
        <v>129</v>
      </c>
      <c r="C23" s="66" t="s">
        <v>105</v>
      </c>
      <c r="D23" s="536">
        <v>0</v>
      </c>
      <c r="E23" s="592" t="s">
        <v>238</v>
      </c>
      <c r="F23" s="164"/>
    </row>
    <row r="24" spans="1:6" x14ac:dyDescent="0.25">
      <c r="A24" s="267"/>
      <c r="B24" s="68">
        <v>116</v>
      </c>
      <c r="C24" s="68" t="s">
        <v>105</v>
      </c>
      <c r="D24" s="293"/>
      <c r="E24" s="164"/>
      <c r="F24" s="164"/>
    </row>
    <row r="25" spans="1:6" x14ac:dyDescent="0.25">
      <c r="A25" s="268" t="s">
        <v>116</v>
      </c>
      <c r="B25" s="68">
        <v>100</v>
      </c>
      <c r="C25" s="68" t="s">
        <v>105</v>
      </c>
      <c r="D25" s="535">
        <v>0</v>
      </c>
      <c r="E25" s="269"/>
      <c r="F25" s="1"/>
    </row>
    <row r="26" spans="1:6" x14ac:dyDescent="0.25">
      <c r="A26" s="267"/>
      <c r="B26" s="68">
        <v>111</v>
      </c>
      <c r="C26" s="68" t="s">
        <v>105</v>
      </c>
      <c r="D26" s="293"/>
      <c r="E26" s="164"/>
      <c r="F26" s="1"/>
    </row>
    <row r="27" spans="1:6" x14ac:dyDescent="0.25">
      <c r="A27" s="270" t="s">
        <v>117</v>
      </c>
      <c r="B27" s="68">
        <v>111.5</v>
      </c>
      <c r="C27" s="68" t="s">
        <v>105</v>
      </c>
      <c r="D27" s="535">
        <v>0</v>
      </c>
      <c r="E27" s="164"/>
      <c r="F27" s="164"/>
    </row>
    <row r="28" spans="1:6" x14ac:dyDescent="0.25">
      <c r="A28" s="267"/>
      <c r="B28" s="68">
        <v>110</v>
      </c>
      <c r="C28" s="68" t="s">
        <v>105</v>
      </c>
      <c r="D28" s="293"/>
      <c r="E28" s="164"/>
      <c r="F28" s="164"/>
    </row>
    <row r="29" spans="1:6" x14ac:dyDescent="0.25">
      <c r="A29" s="268" t="s">
        <v>118</v>
      </c>
      <c r="B29" s="68">
        <v>107</v>
      </c>
      <c r="C29" s="68" t="s">
        <v>105</v>
      </c>
      <c r="D29" s="535">
        <v>0</v>
      </c>
      <c r="E29" s="164"/>
      <c r="F29" s="164"/>
    </row>
    <row r="30" spans="1:6" x14ac:dyDescent="0.25">
      <c r="A30" s="267"/>
      <c r="B30" s="68">
        <v>115.5</v>
      </c>
      <c r="C30" s="68" t="s">
        <v>105</v>
      </c>
      <c r="D30" s="293"/>
      <c r="E30" s="271"/>
      <c r="F30" s="164"/>
    </row>
    <row r="31" spans="1:6" x14ac:dyDescent="0.25">
      <c r="A31" s="272" t="s">
        <v>119</v>
      </c>
      <c r="B31" s="68">
        <v>102</v>
      </c>
      <c r="C31" s="68" t="s">
        <v>105</v>
      </c>
      <c r="D31" s="535">
        <v>0</v>
      </c>
      <c r="E31" s="164"/>
      <c r="F31" s="164"/>
    </row>
    <row r="32" spans="1:6" x14ac:dyDescent="0.25">
      <c r="A32" s="150"/>
      <c r="B32" s="68">
        <v>114</v>
      </c>
      <c r="C32" s="68" t="s">
        <v>105</v>
      </c>
      <c r="D32" s="293"/>
      <c r="E32" s="269"/>
      <c r="F32" s="164"/>
    </row>
    <row r="33" spans="1:6" x14ac:dyDescent="0.25">
      <c r="A33" s="272" t="s">
        <v>120</v>
      </c>
      <c r="B33" s="68">
        <v>109</v>
      </c>
      <c r="C33" s="68" t="s">
        <v>105</v>
      </c>
      <c r="D33" s="535">
        <v>0</v>
      </c>
      <c r="E33" s="164"/>
      <c r="F33" s="1"/>
    </row>
    <row r="34" spans="1:6" x14ac:dyDescent="0.25">
      <c r="A34" s="138"/>
      <c r="B34" s="68">
        <v>88.5</v>
      </c>
      <c r="C34" s="68" t="s">
        <v>105</v>
      </c>
      <c r="D34" s="293"/>
    </row>
    <row r="35" spans="1:6" x14ac:dyDescent="0.25">
      <c r="A35" s="272" t="s">
        <v>121</v>
      </c>
      <c r="B35" s="68">
        <v>154</v>
      </c>
      <c r="C35" s="68" t="s">
        <v>105</v>
      </c>
      <c r="D35" s="535">
        <v>0</v>
      </c>
    </row>
    <row r="36" spans="1:6" x14ac:dyDescent="0.25">
      <c r="A36" s="138"/>
      <c r="B36" s="68">
        <v>117.5</v>
      </c>
      <c r="C36" s="68" t="s">
        <v>105</v>
      </c>
      <c r="D36" s="293"/>
    </row>
    <row r="37" spans="1:6" x14ac:dyDescent="0.25">
      <c r="A37" s="272" t="s">
        <v>122</v>
      </c>
      <c r="B37" s="68">
        <v>138.5</v>
      </c>
      <c r="C37" s="68" t="s">
        <v>105</v>
      </c>
      <c r="D37" s="535">
        <v>0</v>
      </c>
    </row>
    <row r="38" spans="1:6" x14ac:dyDescent="0.25">
      <c r="A38" s="150"/>
      <c r="B38" s="68">
        <v>136</v>
      </c>
      <c r="C38" s="68" t="s">
        <v>105</v>
      </c>
      <c r="D38" s="293"/>
    </row>
    <row r="39" spans="1:6" x14ac:dyDescent="0.25">
      <c r="A39" s="272" t="s">
        <v>123</v>
      </c>
      <c r="B39" s="68">
        <v>155.5</v>
      </c>
      <c r="C39" s="68" t="s">
        <v>105</v>
      </c>
      <c r="D39" s="535">
        <v>0</v>
      </c>
    </row>
    <row r="40" spans="1:6" x14ac:dyDescent="0.25">
      <c r="A40" s="138"/>
      <c r="B40" s="68">
        <v>175</v>
      </c>
      <c r="C40" s="68" t="s">
        <v>105</v>
      </c>
      <c r="D40" s="293"/>
    </row>
    <row r="41" spans="1:6" x14ac:dyDescent="0.25">
      <c r="A41" s="272" t="s">
        <v>124</v>
      </c>
      <c r="B41" s="68">
        <v>112</v>
      </c>
      <c r="C41" s="68" t="s">
        <v>105</v>
      </c>
      <c r="D41" s="535">
        <v>0</v>
      </c>
    </row>
    <row r="42" spans="1:6" ht="13.8" thickBot="1" x14ac:dyDescent="0.3">
      <c r="A42" s="138"/>
      <c r="B42" s="68">
        <v>106</v>
      </c>
      <c r="C42" s="68" t="s">
        <v>105</v>
      </c>
      <c r="D42" s="293"/>
    </row>
    <row r="43" spans="1:6" x14ac:dyDescent="0.25">
      <c r="A43" s="272" t="s">
        <v>125</v>
      </c>
      <c r="B43" s="68">
        <v>101</v>
      </c>
      <c r="C43" s="68" t="s">
        <v>105</v>
      </c>
      <c r="D43" s="535">
        <v>0</v>
      </c>
      <c r="E43" s="597" t="s">
        <v>100</v>
      </c>
      <c r="F43" s="598" t="s">
        <v>13</v>
      </c>
    </row>
    <row r="44" spans="1:6" ht="13.8" thickBot="1" x14ac:dyDescent="0.3">
      <c r="A44" s="273"/>
      <c r="B44" s="78">
        <v>113.5</v>
      </c>
      <c r="C44" s="78" t="s">
        <v>105</v>
      </c>
      <c r="D44" s="530"/>
      <c r="E44" s="298">
        <f>AVERAGE(D23:D43)</f>
        <v>0</v>
      </c>
      <c r="F44" s="117">
        <f>STDEV(D23:D43)/SQRT(COUNT(D23:D43))</f>
        <v>0</v>
      </c>
    </row>
    <row r="45" spans="1:6" x14ac:dyDescent="0.25">
      <c r="A45" s="274" t="s">
        <v>126</v>
      </c>
      <c r="B45" s="66">
        <v>2531</v>
      </c>
      <c r="C45" s="66">
        <v>885.48</v>
      </c>
      <c r="D45" s="593">
        <v>0.92808991179045597</v>
      </c>
    </row>
    <row r="46" spans="1:6" x14ac:dyDescent="0.25">
      <c r="A46" s="267"/>
      <c r="B46" s="68">
        <v>2767.5</v>
      </c>
      <c r="C46" s="68">
        <v>991.17</v>
      </c>
      <c r="D46" s="594"/>
    </row>
    <row r="47" spans="1:6" x14ac:dyDescent="0.25">
      <c r="A47" s="275" t="s">
        <v>127</v>
      </c>
      <c r="B47" s="68">
        <v>797</v>
      </c>
      <c r="C47" s="68">
        <v>201.72</v>
      </c>
      <c r="D47" s="594">
        <v>0.26167321207612099</v>
      </c>
    </row>
    <row r="48" spans="1:6" x14ac:dyDescent="0.25">
      <c r="A48" s="267"/>
      <c r="B48" s="68">
        <v>1025</v>
      </c>
      <c r="C48" s="68">
        <v>281.58999999999997</v>
      </c>
      <c r="D48" s="594"/>
      <c r="E48" t="s">
        <v>28</v>
      </c>
    </row>
    <row r="49" spans="1:6" x14ac:dyDescent="0.25">
      <c r="A49" s="275" t="s">
        <v>128</v>
      </c>
      <c r="B49" s="68">
        <v>3665.5</v>
      </c>
      <c r="C49" s="68">
        <v>1419.95</v>
      </c>
      <c r="D49" s="594">
        <v>1.39498156601141</v>
      </c>
      <c r="E49" s="55"/>
      <c r="F49" t="s">
        <v>28</v>
      </c>
    </row>
    <row r="50" spans="1:6" x14ac:dyDescent="0.25">
      <c r="A50" s="267"/>
      <c r="B50" s="68">
        <v>3707.5</v>
      </c>
      <c r="C50" s="68">
        <v>1441.12</v>
      </c>
      <c r="D50" s="594"/>
    </row>
    <row r="51" spans="1:6" x14ac:dyDescent="0.25">
      <c r="A51" s="275" t="s">
        <v>129</v>
      </c>
      <c r="B51" s="68">
        <v>2308</v>
      </c>
      <c r="C51" s="68">
        <v>788.48</v>
      </c>
      <c r="D51" s="594">
        <v>0.86952233774358401</v>
      </c>
    </row>
    <row r="52" spans="1:6" x14ac:dyDescent="0.25">
      <c r="A52" s="267"/>
      <c r="B52" s="68">
        <v>2710.5</v>
      </c>
      <c r="C52" s="68">
        <v>965.43</v>
      </c>
      <c r="D52" s="594"/>
    </row>
    <row r="53" spans="1:6" x14ac:dyDescent="0.25">
      <c r="A53" s="275" t="s">
        <v>130</v>
      </c>
      <c r="B53" s="68">
        <v>1455</v>
      </c>
      <c r="C53" s="68">
        <v>441.36</v>
      </c>
      <c r="D53" s="594">
        <v>0.40958498330721599</v>
      </c>
    </row>
    <row r="54" spans="1:6" x14ac:dyDescent="0.25">
      <c r="A54" s="267"/>
      <c r="B54" s="68">
        <v>1195</v>
      </c>
      <c r="C54" s="68">
        <v>343.43</v>
      </c>
      <c r="D54" s="594"/>
    </row>
    <row r="55" spans="1:6" x14ac:dyDescent="0.25">
      <c r="A55" s="275" t="s">
        <v>131</v>
      </c>
      <c r="B55" s="68">
        <v>2007</v>
      </c>
      <c r="C55" s="68">
        <v>661.64</v>
      </c>
      <c r="D55" s="594">
        <v>0.65439323571750596</v>
      </c>
    </row>
    <row r="56" spans="1:6" x14ac:dyDescent="0.25">
      <c r="A56" s="267"/>
      <c r="B56" s="68">
        <v>1942</v>
      </c>
      <c r="C56" s="68">
        <v>634.87</v>
      </c>
      <c r="D56" s="594"/>
    </row>
    <row r="57" spans="1:6" x14ac:dyDescent="0.25">
      <c r="A57" s="275" t="s">
        <v>132</v>
      </c>
      <c r="B57" s="68">
        <v>1235</v>
      </c>
      <c r="C57" s="68">
        <v>358.23</v>
      </c>
      <c r="D57" s="594">
        <v>0.36917853954248803</v>
      </c>
    </row>
    <row r="58" spans="1:6" x14ac:dyDescent="0.25">
      <c r="A58" s="267"/>
      <c r="B58" s="68">
        <v>1192</v>
      </c>
      <c r="C58" s="68">
        <v>342.32</v>
      </c>
      <c r="D58" s="594"/>
    </row>
    <row r="59" spans="1:6" x14ac:dyDescent="0.25">
      <c r="A59" s="275" t="s">
        <v>133</v>
      </c>
      <c r="B59" s="68">
        <v>1473.5</v>
      </c>
      <c r="C59" s="68">
        <v>448.48</v>
      </c>
      <c r="D59" s="594">
        <v>0.46132719887680101</v>
      </c>
    </row>
    <row r="60" spans="1:6" ht="13.8" thickBot="1" x14ac:dyDescent="0.3">
      <c r="A60" s="267"/>
      <c r="B60" s="68">
        <v>1458.5</v>
      </c>
      <c r="C60" s="68">
        <v>442.71</v>
      </c>
      <c r="D60" s="594"/>
    </row>
    <row r="61" spans="1:6" x14ac:dyDescent="0.25">
      <c r="A61" s="275" t="s">
        <v>134</v>
      </c>
      <c r="B61" s="68">
        <v>846.5</v>
      </c>
      <c r="C61" s="68">
        <v>218.74</v>
      </c>
      <c r="D61" s="594">
        <v>0.23868623627551599</v>
      </c>
      <c r="E61" s="599" t="s">
        <v>100</v>
      </c>
      <c r="F61" s="600" t="s">
        <v>13</v>
      </c>
    </row>
    <row r="62" spans="1:6" ht="13.8" thickBot="1" x14ac:dyDescent="0.3">
      <c r="A62" s="276"/>
      <c r="B62" s="75">
        <v>844</v>
      </c>
      <c r="C62" s="75">
        <v>217.88</v>
      </c>
      <c r="D62" s="595"/>
      <c r="E62" s="298">
        <f>AVERAGE(D45:D61)</f>
        <v>0.62082635792678864</v>
      </c>
      <c r="F62" s="117">
        <f>STDEV(D45:D61)/SQRT(COUNT(D45:D61))</f>
        <v>0.12720910075844535</v>
      </c>
    </row>
    <row r="63" spans="1:6" x14ac:dyDescent="0.25">
      <c r="A63" s="277" t="s">
        <v>135</v>
      </c>
      <c r="B63" s="66">
        <v>110.5</v>
      </c>
      <c r="C63" s="66" t="s">
        <v>105</v>
      </c>
      <c r="D63" s="536">
        <v>0</v>
      </c>
      <c r="E63" s="592" t="s">
        <v>238</v>
      </c>
    </row>
    <row r="64" spans="1:6" x14ac:dyDescent="0.25">
      <c r="A64" s="267"/>
      <c r="B64" s="68">
        <v>102</v>
      </c>
      <c r="C64" s="68" t="s">
        <v>105</v>
      </c>
      <c r="D64" s="293"/>
    </row>
    <row r="65" spans="1:4" x14ac:dyDescent="0.25">
      <c r="A65" s="278" t="s">
        <v>136</v>
      </c>
      <c r="B65" s="68">
        <v>107</v>
      </c>
      <c r="C65" s="68" t="s">
        <v>105</v>
      </c>
      <c r="D65" s="535">
        <v>0</v>
      </c>
    </row>
    <row r="66" spans="1:4" x14ac:dyDescent="0.25">
      <c r="A66" s="267"/>
      <c r="B66" s="68">
        <v>115</v>
      </c>
      <c r="C66" s="68" t="s">
        <v>105</v>
      </c>
      <c r="D66" s="293"/>
    </row>
    <row r="67" spans="1:4" x14ac:dyDescent="0.25">
      <c r="A67" s="278" t="s">
        <v>137</v>
      </c>
      <c r="B67" s="68">
        <v>124</v>
      </c>
      <c r="C67" s="68" t="s">
        <v>105</v>
      </c>
      <c r="D67" s="535">
        <v>0</v>
      </c>
    </row>
    <row r="68" spans="1:4" x14ac:dyDescent="0.25">
      <c r="A68" s="267"/>
      <c r="B68" s="68">
        <v>122</v>
      </c>
      <c r="C68" s="68" t="s">
        <v>105</v>
      </c>
      <c r="D68" s="293"/>
    </row>
    <row r="69" spans="1:4" x14ac:dyDescent="0.25">
      <c r="A69" s="278" t="s">
        <v>138</v>
      </c>
      <c r="B69" s="68">
        <v>115</v>
      </c>
      <c r="C69" s="68" t="s">
        <v>105</v>
      </c>
      <c r="D69" s="535">
        <v>0</v>
      </c>
    </row>
    <row r="70" spans="1:4" x14ac:dyDescent="0.25">
      <c r="A70" s="267"/>
      <c r="B70" s="68">
        <v>107.5</v>
      </c>
      <c r="C70" s="68" t="s">
        <v>105</v>
      </c>
      <c r="D70" s="293"/>
    </row>
    <row r="71" spans="1:4" x14ac:dyDescent="0.25">
      <c r="A71" s="278" t="s">
        <v>139</v>
      </c>
      <c r="B71" s="68">
        <v>104.5</v>
      </c>
      <c r="C71" s="68" t="s">
        <v>105</v>
      </c>
      <c r="D71" s="535">
        <v>0</v>
      </c>
    </row>
    <row r="72" spans="1:4" x14ac:dyDescent="0.25">
      <c r="A72" s="267"/>
      <c r="B72" s="68">
        <v>115</v>
      </c>
      <c r="C72" s="68" t="s">
        <v>105</v>
      </c>
      <c r="D72" s="293"/>
    </row>
    <row r="73" spans="1:4" x14ac:dyDescent="0.25">
      <c r="A73" s="278" t="s">
        <v>140</v>
      </c>
      <c r="B73" s="68">
        <v>100</v>
      </c>
      <c r="C73" s="68" t="s">
        <v>105</v>
      </c>
      <c r="D73" s="535">
        <v>0</v>
      </c>
    </row>
    <row r="74" spans="1:4" x14ac:dyDescent="0.25">
      <c r="A74" s="267"/>
      <c r="B74" s="68">
        <v>112.5</v>
      </c>
      <c r="C74" s="68" t="s">
        <v>105</v>
      </c>
      <c r="D74" s="293"/>
    </row>
    <row r="75" spans="1:4" x14ac:dyDescent="0.25">
      <c r="A75" s="278" t="s">
        <v>141</v>
      </c>
      <c r="B75" s="68">
        <v>105</v>
      </c>
      <c r="C75" s="68" t="s">
        <v>105</v>
      </c>
      <c r="D75" s="535">
        <v>0</v>
      </c>
    </row>
    <row r="76" spans="1:4" x14ac:dyDescent="0.25">
      <c r="A76" s="267"/>
      <c r="B76" s="68">
        <v>97</v>
      </c>
      <c r="C76" s="68" t="s">
        <v>105</v>
      </c>
      <c r="D76" s="134"/>
    </row>
    <row r="77" spans="1:4" x14ac:dyDescent="0.25">
      <c r="A77" s="278" t="s">
        <v>142</v>
      </c>
      <c r="B77" s="68">
        <v>87</v>
      </c>
      <c r="C77" s="68" t="s">
        <v>105</v>
      </c>
      <c r="D77" s="535">
        <v>0</v>
      </c>
    </row>
    <row r="78" spans="1:4" x14ac:dyDescent="0.25">
      <c r="A78" s="267"/>
      <c r="B78" s="68">
        <v>93</v>
      </c>
      <c r="C78" s="68" t="s">
        <v>105</v>
      </c>
      <c r="D78" s="293"/>
    </row>
    <row r="79" spans="1:4" x14ac:dyDescent="0.25">
      <c r="A79" s="278" t="s">
        <v>143</v>
      </c>
      <c r="B79" s="68">
        <v>114.5</v>
      </c>
      <c r="C79" s="68" t="s">
        <v>105</v>
      </c>
      <c r="D79" s="535">
        <v>0</v>
      </c>
    </row>
    <row r="80" spans="1:4" x14ac:dyDescent="0.25">
      <c r="A80" s="267"/>
      <c r="B80" s="68">
        <v>119</v>
      </c>
      <c r="C80" s="68" t="s">
        <v>105</v>
      </c>
      <c r="D80" s="293"/>
    </row>
    <row r="81" spans="1:6" x14ac:dyDescent="0.25">
      <c r="A81" s="278" t="s">
        <v>144</v>
      </c>
      <c r="B81" s="68">
        <v>109</v>
      </c>
      <c r="C81" s="68" t="s">
        <v>105</v>
      </c>
      <c r="D81" s="535">
        <v>0</v>
      </c>
    </row>
    <row r="82" spans="1:6" ht="13.8" thickBot="1" x14ac:dyDescent="0.3">
      <c r="A82" s="267"/>
      <c r="B82" s="68">
        <v>101</v>
      </c>
      <c r="C82" s="68" t="s">
        <v>105</v>
      </c>
      <c r="D82" s="134"/>
    </row>
    <row r="83" spans="1:6" x14ac:dyDescent="0.25">
      <c r="A83" s="278" t="s">
        <v>145</v>
      </c>
      <c r="B83" s="68">
        <v>103.5</v>
      </c>
      <c r="C83" s="68" t="s">
        <v>105</v>
      </c>
      <c r="D83" s="535">
        <v>0</v>
      </c>
      <c r="E83" s="601" t="s">
        <v>100</v>
      </c>
      <c r="F83" s="602" t="s">
        <v>13</v>
      </c>
    </row>
    <row r="84" spans="1:6" ht="13.8" thickBot="1" x14ac:dyDescent="0.3">
      <c r="A84" s="273"/>
      <c r="B84" s="78">
        <v>105</v>
      </c>
      <c r="C84" s="78" t="s">
        <v>105</v>
      </c>
      <c r="D84" s="134"/>
      <c r="E84" s="298">
        <f>AVERAGE(D63:D83)</f>
        <v>0</v>
      </c>
      <c r="F84" s="117">
        <f>STDEV(D63:D83)/SQRT(COUNT(D63:D83))</f>
        <v>0</v>
      </c>
    </row>
    <row r="85" spans="1:6" x14ac:dyDescent="0.25">
      <c r="A85" s="280" t="s">
        <v>146</v>
      </c>
      <c r="B85" s="66">
        <v>2418.5</v>
      </c>
      <c r="C85" s="66">
        <v>836.22</v>
      </c>
      <c r="D85" s="593">
        <v>0.86144153164434301</v>
      </c>
    </row>
    <row r="86" spans="1:6" x14ac:dyDescent="0.25">
      <c r="A86" s="267"/>
      <c r="B86" s="68">
        <v>2561</v>
      </c>
      <c r="C86" s="68">
        <v>898.72</v>
      </c>
      <c r="D86" s="594"/>
    </row>
    <row r="87" spans="1:6" x14ac:dyDescent="0.25">
      <c r="A87" s="281" t="s">
        <v>147</v>
      </c>
      <c r="B87" s="68">
        <v>2731</v>
      </c>
      <c r="C87" s="68">
        <v>974.66</v>
      </c>
      <c r="D87" s="594">
        <v>0.98528852505023801</v>
      </c>
    </row>
    <row r="88" spans="1:6" x14ac:dyDescent="0.25">
      <c r="A88" s="267"/>
      <c r="B88" s="68">
        <v>2836.5</v>
      </c>
      <c r="C88" s="68">
        <v>1022.56</v>
      </c>
      <c r="D88" s="594"/>
    </row>
    <row r="89" spans="1:6" x14ac:dyDescent="0.25">
      <c r="A89" s="281" t="s">
        <v>148</v>
      </c>
      <c r="B89" s="68">
        <v>1009</v>
      </c>
      <c r="C89" s="68">
        <v>275.87</v>
      </c>
      <c r="D89" s="594">
        <v>0.29220162951178102</v>
      </c>
    </row>
    <row r="90" spans="1:6" x14ac:dyDescent="0.25">
      <c r="A90" s="267"/>
      <c r="B90" s="68">
        <v>986.5</v>
      </c>
      <c r="C90" s="68">
        <v>267.85000000000002</v>
      </c>
      <c r="D90" s="594"/>
    </row>
    <row r="91" spans="1:6" x14ac:dyDescent="0.25">
      <c r="A91" s="281" t="s">
        <v>149</v>
      </c>
      <c r="B91" s="68">
        <v>3172.5</v>
      </c>
      <c r="C91" s="68">
        <v>1179.05</v>
      </c>
      <c r="D91" s="594">
        <v>1.1572393458367001</v>
      </c>
    </row>
    <row r="92" spans="1:6" x14ac:dyDescent="0.25">
      <c r="A92" s="267"/>
      <c r="B92" s="68">
        <v>3178</v>
      </c>
      <c r="C92" s="68">
        <v>1181.6600000000001</v>
      </c>
      <c r="D92" s="594"/>
    </row>
    <row r="93" spans="1:6" x14ac:dyDescent="0.25">
      <c r="A93" s="281" t="s">
        <v>150</v>
      </c>
      <c r="B93" s="68">
        <v>1657.5</v>
      </c>
      <c r="C93" s="68">
        <v>520.28</v>
      </c>
      <c r="D93" s="594">
        <v>0.51766691682044397</v>
      </c>
    </row>
    <row r="94" spans="1:6" ht="13.8" thickBot="1" x14ac:dyDescent="0.3">
      <c r="A94" s="267"/>
      <c r="B94" s="68">
        <v>1577</v>
      </c>
      <c r="C94" s="68">
        <v>488.64</v>
      </c>
      <c r="D94" s="594"/>
      <c r="E94" t="s">
        <v>28</v>
      </c>
    </row>
    <row r="95" spans="1:6" x14ac:dyDescent="0.25">
      <c r="A95" s="281" t="s">
        <v>151</v>
      </c>
      <c r="B95" s="68">
        <v>2029</v>
      </c>
      <c r="C95" s="68">
        <v>670.75</v>
      </c>
      <c r="D95" s="594">
        <v>0.67955501488640002</v>
      </c>
      <c r="E95" s="603" t="s">
        <v>100</v>
      </c>
      <c r="F95" s="604" t="s">
        <v>13</v>
      </c>
    </row>
    <row r="96" spans="1:6" ht="13.8" thickBot="1" x14ac:dyDescent="0.3">
      <c r="A96" s="276"/>
      <c r="B96" s="75">
        <v>2048.5</v>
      </c>
      <c r="C96" s="75">
        <v>678.85</v>
      </c>
      <c r="D96" s="595"/>
      <c r="E96" s="298">
        <f>AVERAGE(D85:D95)</f>
        <v>0.74889882729165091</v>
      </c>
      <c r="F96" s="117">
        <f>STDEV(D85:D95)/SQRT(COUNT(D85:D95))</f>
        <v>0.12937503878184259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137"/>
  <sheetViews>
    <sheetView workbookViewId="0">
      <selection activeCell="N125" sqref="N125"/>
    </sheetView>
  </sheetViews>
  <sheetFormatPr defaultRowHeight="13.2" x14ac:dyDescent="0.25"/>
  <cols>
    <col min="3" max="3" width="10.5546875" customWidth="1"/>
    <col min="4" max="4" width="13.44140625" customWidth="1"/>
    <col min="10" max="10" width="13.21875" customWidth="1"/>
    <col min="11" max="11" width="12.77734375" customWidth="1"/>
    <col min="12" max="12" width="14.77734375" customWidth="1"/>
    <col min="13" max="13" width="13.77734375" customWidth="1"/>
    <col min="14" max="14" width="16.44140625" customWidth="1"/>
  </cols>
  <sheetData>
    <row r="1" spans="1:10" x14ac:dyDescent="0.25">
      <c r="A1" t="s">
        <v>152</v>
      </c>
    </row>
    <row r="2" spans="1:10" x14ac:dyDescent="0.25">
      <c r="A2" s="8" t="s">
        <v>153</v>
      </c>
      <c r="B2" s="5" t="s">
        <v>1</v>
      </c>
      <c r="C2" s="3">
        <v>42290</v>
      </c>
    </row>
    <row r="3" spans="1:10" x14ac:dyDescent="0.25">
      <c r="C3" s="3"/>
      <c r="J3" s="3"/>
    </row>
    <row r="5" spans="1:10" ht="13.8" thickBot="1" x14ac:dyDescent="0.3">
      <c r="F5" s="1" t="s">
        <v>5</v>
      </c>
      <c r="G5" s="1" t="s">
        <v>6</v>
      </c>
      <c r="H5" t="s">
        <v>7</v>
      </c>
    </row>
    <row r="6" spans="1:10" x14ac:dyDescent="0.25">
      <c r="A6">
        <v>1.6639999999999999</v>
      </c>
      <c r="B6">
        <v>400</v>
      </c>
      <c r="C6" s="24">
        <v>0.78800000000000003</v>
      </c>
      <c r="D6" s="6" t="s">
        <v>158</v>
      </c>
      <c r="E6" s="25"/>
      <c r="F6" s="25"/>
      <c r="G6" s="25"/>
      <c r="H6" s="52"/>
    </row>
    <row r="7" spans="1:10" x14ac:dyDescent="0.25">
      <c r="A7">
        <v>1.67</v>
      </c>
      <c r="B7">
        <v>400</v>
      </c>
      <c r="C7" s="26">
        <v>0.65300000000000002</v>
      </c>
      <c r="D7" s="4">
        <v>8761</v>
      </c>
      <c r="E7" s="21">
        <f>AVERAGE(C6:C8)</f>
        <v>0.72050000000000003</v>
      </c>
      <c r="F7" s="21">
        <f>254.74*E7 - 18.2</f>
        <v>165.34017000000003</v>
      </c>
      <c r="G7" s="21">
        <v>112.96176</v>
      </c>
      <c r="H7" s="35">
        <f>AVERAGE(F7:G7)</f>
        <v>139.15096500000001</v>
      </c>
    </row>
    <row r="8" spans="1:10" ht="13.8" thickBot="1" x14ac:dyDescent="0.3">
      <c r="B8">
        <v>400</v>
      </c>
      <c r="C8" s="26"/>
      <c r="D8" s="23"/>
      <c r="E8" s="21"/>
      <c r="F8" s="21"/>
      <c r="G8" s="21"/>
      <c r="H8" s="35"/>
    </row>
    <row r="9" spans="1:10" x14ac:dyDescent="0.25">
      <c r="A9">
        <v>0.81100000000000005</v>
      </c>
      <c r="B9">
        <v>200</v>
      </c>
      <c r="C9" s="26">
        <v>1.121</v>
      </c>
      <c r="D9" s="6" t="s">
        <v>158</v>
      </c>
      <c r="E9" s="21">
        <f>AVERAGE(C9:C11)</f>
        <v>1.1444999999999999</v>
      </c>
      <c r="F9" s="21">
        <f>254.74*E9 - 18.2</f>
        <v>273.34992999999997</v>
      </c>
      <c r="G9" s="21">
        <v>209.04191999999998</v>
      </c>
      <c r="H9" s="35">
        <f>AVERAGE(F9:G9)</f>
        <v>241.19592499999999</v>
      </c>
    </row>
    <row r="10" spans="1:10" x14ac:dyDescent="0.25">
      <c r="A10">
        <v>0.79800000000000004</v>
      </c>
      <c r="B10">
        <v>200</v>
      </c>
      <c r="C10" s="26">
        <v>1.1679999999999999</v>
      </c>
      <c r="D10" s="4">
        <v>8862</v>
      </c>
      <c r="E10" s="21"/>
      <c r="F10" s="21"/>
      <c r="G10" s="21"/>
      <c r="H10" s="35"/>
    </row>
    <row r="11" spans="1:10" ht="13.8" thickBot="1" x14ac:dyDescent="0.3">
      <c r="B11">
        <v>200</v>
      </c>
      <c r="C11" s="26"/>
      <c r="D11" s="23"/>
      <c r="E11" s="21"/>
      <c r="F11" s="21"/>
      <c r="G11" s="21"/>
      <c r="H11" s="35"/>
    </row>
    <row r="12" spans="1:10" x14ac:dyDescent="0.25">
      <c r="A12">
        <v>0.44500000000000001</v>
      </c>
      <c r="B12">
        <v>100</v>
      </c>
      <c r="C12" s="26">
        <v>1.147</v>
      </c>
      <c r="D12" s="6" t="s">
        <v>158</v>
      </c>
      <c r="E12" s="21">
        <f>AVERAGE(C12:C14)</f>
        <v>1.1840000000000002</v>
      </c>
      <c r="F12" s="21">
        <f>254.74*E12 - 18.2</f>
        <v>283.41216000000009</v>
      </c>
      <c r="G12" s="21">
        <v>232.42799999999997</v>
      </c>
      <c r="H12" s="35">
        <f>AVERAGE(F12:G12)</f>
        <v>257.92008000000004</v>
      </c>
    </row>
    <row r="13" spans="1:10" x14ac:dyDescent="0.25">
      <c r="A13">
        <v>0.438</v>
      </c>
      <c r="B13">
        <v>100</v>
      </c>
      <c r="C13" s="26">
        <v>1.2210000000000001</v>
      </c>
      <c r="D13" s="4">
        <v>8762</v>
      </c>
      <c r="E13" s="21"/>
      <c r="F13" s="21"/>
      <c r="G13" s="21"/>
      <c r="H13" s="35"/>
    </row>
    <row r="14" spans="1:10" ht="13.8" thickBot="1" x14ac:dyDescent="0.3">
      <c r="B14">
        <v>100</v>
      </c>
      <c r="C14" s="26"/>
      <c r="D14" s="23"/>
      <c r="E14" s="21"/>
      <c r="F14" s="21"/>
      <c r="G14" s="21"/>
      <c r="H14" s="35"/>
    </row>
    <row r="15" spans="1:10" x14ac:dyDescent="0.25">
      <c r="A15">
        <v>0.29399999999999998</v>
      </c>
      <c r="B15">
        <v>50</v>
      </c>
      <c r="C15" s="26">
        <v>1.0469999999999999</v>
      </c>
      <c r="D15" s="6" t="s">
        <v>158</v>
      </c>
      <c r="E15" s="21">
        <f>AVERAGE(C15:C17)</f>
        <v>0.98</v>
      </c>
      <c r="F15" s="21">
        <f>254.74*E15 - 18.2</f>
        <v>231.44520000000003</v>
      </c>
      <c r="G15" s="21">
        <v>161.84711999999999</v>
      </c>
      <c r="H15" s="35">
        <f>AVERAGE(F15:G15)</f>
        <v>196.64616000000001</v>
      </c>
    </row>
    <row r="16" spans="1:10" x14ac:dyDescent="0.25">
      <c r="A16">
        <v>0.28699999999999998</v>
      </c>
      <c r="B16">
        <v>50</v>
      </c>
      <c r="C16" s="26">
        <v>0.91300000000000003</v>
      </c>
      <c r="D16" s="4">
        <v>8863</v>
      </c>
      <c r="E16" s="21"/>
      <c r="F16" s="21"/>
      <c r="G16" s="21"/>
      <c r="H16" s="35"/>
    </row>
    <row r="17" spans="1:14" ht="13.8" thickBot="1" x14ac:dyDescent="0.3">
      <c r="B17">
        <v>50</v>
      </c>
      <c r="C17" s="26"/>
      <c r="D17" s="23"/>
      <c r="E17" s="21"/>
      <c r="F17" s="21"/>
      <c r="G17" s="21"/>
      <c r="H17" s="35"/>
    </row>
    <row r="18" spans="1:14" x14ac:dyDescent="0.25">
      <c r="A18">
        <v>0.17599999999999999</v>
      </c>
      <c r="B18">
        <v>25</v>
      </c>
      <c r="C18" s="26">
        <v>0.68300000000000005</v>
      </c>
      <c r="D18" s="6" t="s">
        <v>158</v>
      </c>
      <c r="E18" s="21">
        <f>AVERAGE(C18:C20)</f>
        <v>0.70199999999999996</v>
      </c>
      <c r="F18" s="21">
        <f>254.74*E18 - 18.2</f>
        <v>160.62748000000002</v>
      </c>
      <c r="G18" s="21">
        <v>139.02456000000001</v>
      </c>
      <c r="H18" s="35">
        <f>AVERAGE(F18:G18)</f>
        <v>149.82602000000003</v>
      </c>
    </row>
    <row r="19" spans="1:14" ht="13.8" thickBot="1" x14ac:dyDescent="0.3">
      <c r="A19">
        <v>0.16300000000000001</v>
      </c>
      <c r="B19">
        <v>25</v>
      </c>
      <c r="C19" s="26">
        <v>0.72099999999999997</v>
      </c>
      <c r="D19" s="4">
        <v>8711</v>
      </c>
      <c r="E19" s="21"/>
      <c r="F19" s="21"/>
      <c r="G19" s="21"/>
      <c r="H19" s="35"/>
    </row>
    <row r="20" spans="1:14" ht="13.8" thickBot="1" x14ac:dyDescent="0.3">
      <c r="B20">
        <v>25</v>
      </c>
      <c r="C20" s="26"/>
      <c r="D20" s="23"/>
      <c r="E20" s="21"/>
      <c r="F20" s="21"/>
      <c r="G20" s="21"/>
      <c r="H20" s="35"/>
      <c r="K20" s="287" t="s">
        <v>154</v>
      </c>
      <c r="L20" s="288" t="s">
        <v>155</v>
      </c>
      <c r="M20" s="287" t="s">
        <v>156</v>
      </c>
      <c r="N20" s="288" t="s">
        <v>157</v>
      </c>
    </row>
    <row r="21" spans="1:14" ht="13.8" thickBot="1" x14ac:dyDescent="0.3">
      <c r="A21">
        <v>0.129</v>
      </c>
      <c r="B21">
        <v>12.5</v>
      </c>
      <c r="C21" s="26">
        <v>0.55900000000000005</v>
      </c>
      <c r="D21" s="6" t="s">
        <v>158</v>
      </c>
      <c r="E21" s="21">
        <f>AVERAGE(C21:C23)</f>
        <v>0.56899999999999995</v>
      </c>
      <c r="F21" s="21">
        <f>254.74*E21 - 18.2</f>
        <v>126.74705999999999</v>
      </c>
      <c r="G21" s="21">
        <v>87.744239999999991</v>
      </c>
      <c r="H21" s="35">
        <f>AVERAGE(F21:G21)</f>
        <v>107.24564999999998</v>
      </c>
      <c r="J21" s="289" t="s">
        <v>158</v>
      </c>
      <c r="K21" s="290">
        <f>AVERAGE(F7:F33)</f>
        <v>205.81835599999999</v>
      </c>
      <c r="L21" s="291">
        <f>STDEV(F7:F33)/SQRT(COUNT(F7:F33))</f>
        <v>20.211735070403019</v>
      </c>
      <c r="M21" s="290">
        <f>AVERAGE(H7:H33)</f>
        <v>182.36758600000002</v>
      </c>
      <c r="N21" s="291">
        <f>STDEV(H7:H33)/SQRT(COUNT(H7:H33))</f>
        <v>17.769425124811193</v>
      </c>
    </row>
    <row r="22" spans="1:14" ht="13.8" thickBot="1" x14ac:dyDescent="0.3">
      <c r="A22">
        <v>0.13700000000000001</v>
      </c>
      <c r="B22">
        <v>12.5</v>
      </c>
      <c r="C22" s="26">
        <v>0.57899999999999996</v>
      </c>
      <c r="D22" s="4">
        <v>8521</v>
      </c>
      <c r="E22" s="21"/>
      <c r="F22" s="21"/>
      <c r="G22" s="21"/>
      <c r="H22" s="35"/>
      <c r="J22" s="1"/>
      <c r="K22" s="292"/>
      <c r="L22" s="293"/>
      <c r="M22" s="292"/>
      <c r="N22" s="293"/>
    </row>
    <row r="23" spans="1:14" ht="13.8" thickBot="1" x14ac:dyDescent="0.3">
      <c r="B23">
        <v>12.5</v>
      </c>
      <c r="C23" s="26"/>
      <c r="D23" s="23"/>
      <c r="E23" s="21"/>
      <c r="F23" s="21"/>
      <c r="G23" s="21"/>
      <c r="H23" s="35"/>
      <c r="J23" s="294" t="s">
        <v>159</v>
      </c>
      <c r="K23" s="292">
        <f>AVERAGE(F36:F60)</f>
        <v>114.13742999999999</v>
      </c>
      <c r="L23" s="293">
        <f>STDEV(F36:F62)/SQRT(COUNT(F36:F62))</f>
        <v>6.1216418348943122</v>
      </c>
      <c r="M23" s="292">
        <f>AVERAGE(H36:H60)</f>
        <v>107.30391499999999</v>
      </c>
      <c r="N23" s="293">
        <f>STDEV(H36:H62)/SQRT(COUNT(H36:H62))</f>
        <v>7.3938039364355079</v>
      </c>
    </row>
    <row r="24" spans="1:14" ht="13.8" thickBot="1" x14ac:dyDescent="0.3">
      <c r="A24">
        <v>8.5000000000000006E-2</v>
      </c>
      <c r="B24">
        <v>0</v>
      </c>
      <c r="C24" s="26">
        <v>0.72699999999999998</v>
      </c>
      <c r="D24" s="6" t="s">
        <v>158</v>
      </c>
      <c r="E24" s="21">
        <f>AVERAGE(C24:C26)</f>
        <v>0.72299999999999998</v>
      </c>
      <c r="F24" s="21">
        <f>254.74*E24 - 18.2</f>
        <v>165.97702000000001</v>
      </c>
      <c r="G24" s="21">
        <v>119.72400000000002</v>
      </c>
      <c r="H24" s="35">
        <f>AVERAGE(F24:G24)</f>
        <v>142.85051000000001</v>
      </c>
      <c r="J24" s="51"/>
      <c r="K24" s="292"/>
      <c r="L24" s="293"/>
      <c r="M24" s="292"/>
      <c r="N24" s="293"/>
    </row>
    <row r="25" spans="1:14" ht="13.8" thickBot="1" x14ac:dyDescent="0.3">
      <c r="A25">
        <v>8.5999999999999993E-2</v>
      </c>
      <c r="B25">
        <v>0</v>
      </c>
      <c r="C25" s="26">
        <v>0.71899999999999997</v>
      </c>
      <c r="D25" s="4">
        <v>8766</v>
      </c>
      <c r="H25" s="134"/>
      <c r="J25" s="295" t="s">
        <v>160</v>
      </c>
      <c r="K25" s="292">
        <f>AVERAGE(F63:F87)</f>
        <v>221.0433166666667</v>
      </c>
      <c r="L25" s="293">
        <f>STDEV(F63:F89)/SQRT(COUNT(F63:F89))</f>
        <v>23.625246690040598</v>
      </c>
      <c r="M25" s="292">
        <f>AVERAGE(H63:H87)</f>
        <v>190.45905833333336</v>
      </c>
      <c r="N25" s="293">
        <f>STDEV(H63:H89)/SQRT(COUNT(H63:H89))</f>
        <v>15.650953410893839</v>
      </c>
    </row>
    <row r="26" spans="1:14" ht="13.8" thickBot="1" x14ac:dyDescent="0.3">
      <c r="B26">
        <v>0</v>
      </c>
      <c r="C26" s="26"/>
      <c r="D26" s="23"/>
      <c r="E26" s="21"/>
      <c r="F26" s="21"/>
      <c r="G26" s="21"/>
      <c r="H26" s="35"/>
      <c r="K26" s="292"/>
      <c r="L26" s="293"/>
      <c r="M26" s="292"/>
      <c r="N26" s="293"/>
    </row>
    <row r="27" spans="1:14" ht="13.8" thickBot="1" x14ac:dyDescent="0.3">
      <c r="C27" s="26">
        <v>0.88400000000000001</v>
      </c>
      <c r="D27" s="6" t="s">
        <v>158</v>
      </c>
      <c r="E27" s="21">
        <f>AVERAGE(C27:C29)</f>
        <v>0.89050000000000007</v>
      </c>
      <c r="F27" s="21">
        <f>254.74*E27 - 18.2</f>
        <v>208.64597000000003</v>
      </c>
      <c r="G27" s="21">
        <v>177.90743999999998</v>
      </c>
      <c r="H27" s="35">
        <f>AVERAGE(F27:G27)</f>
        <v>193.27670499999999</v>
      </c>
      <c r="J27" s="296" t="s">
        <v>161</v>
      </c>
      <c r="K27" s="292">
        <f>AVERAGE(F91:F122)</f>
        <v>116.77746272727273</v>
      </c>
      <c r="L27" s="293">
        <f>STDEV(F90:F121)/SQRT(COUNT(F90:F121))</f>
        <v>8.4720782809544684</v>
      </c>
      <c r="M27" s="292">
        <f>AVERAGE(H91:H122)</f>
        <v>111.27076772727274</v>
      </c>
      <c r="N27" s="293">
        <f>STDEV(H90:H121)/SQRT(COUNT(H90:H121))</f>
        <v>9.9300215862526517</v>
      </c>
    </row>
    <row r="28" spans="1:14" ht="13.8" thickBot="1" x14ac:dyDescent="0.3">
      <c r="C28" s="26">
        <v>0.89700000000000002</v>
      </c>
      <c r="D28" s="4">
        <v>8553</v>
      </c>
      <c r="E28" s="21"/>
      <c r="F28" s="21"/>
      <c r="G28" s="21"/>
      <c r="H28" s="35"/>
      <c r="K28" s="292"/>
      <c r="L28" s="293"/>
      <c r="M28" s="292"/>
      <c r="N28" s="293"/>
    </row>
    <row r="29" spans="1:14" ht="13.8" thickBot="1" x14ac:dyDescent="0.3">
      <c r="C29" s="26"/>
      <c r="D29" s="23"/>
      <c r="E29" s="21"/>
      <c r="F29" s="21"/>
      <c r="G29" s="21"/>
      <c r="H29" s="35"/>
      <c r="J29" s="297" t="s">
        <v>162</v>
      </c>
      <c r="K29" s="298">
        <f>AVERAGE(F123:F135)</f>
        <v>90.573980000000006</v>
      </c>
      <c r="L29" s="299">
        <f>STDEV(F123:F137)/SQRT(COUNT(F123:F137))</f>
        <v>4.3984164085782043</v>
      </c>
      <c r="M29" s="298">
        <f>AVERAGE(H123:H135)</f>
        <v>80.368197999999978</v>
      </c>
      <c r="N29" s="299">
        <f>STDEV(H123:H137)/SQRT(COUNT(H123:H137))</f>
        <v>4.2436503254411582</v>
      </c>
    </row>
    <row r="30" spans="1:14" x14ac:dyDescent="0.25">
      <c r="C30" s="26">
        <v>0.57699999999999996</v>
      </c>
      <c r="D30" s="6" t="s">
        <v>158</v>
      </c>
      <c r="E30" s="21">
        <f>AVERAGE(C30:C32)</f>
        <v>0.61749999999999994</v>
      </c>
      <c r="F30" s="21">
        <f>254.74*E30 - 18.2</f>
        <v>139.10194999999999</v>
      </c>
      <c r="G30" s="21">
        <v>127.47239999999999</v>
      </c>
      <c r="H30" s="35">
        <f>AVERAGE(F30:G30)</f>
        <v>133.28717499999999</v>
      </c>
    </row>
    <row r="31" spans="1:14" x14ac:dyDescent="0.25">
      <c r="C31" s="26">
        <v>0.65800000000000003</v>
      </c>
      <c r="D31" s="4">
        <v>8891</v>
      </c>
      <c r="E31" s="21"/>
      <c r="F31" s="21"/>
      <c r="G31" s="21"/>
      <c r="H31" s="35"/>
      <c r="J31" s="1"/>
    </row>
    <row r="32" spans="1:14" ht="13.8" thickBot="1" x14ac:dyDescent="0.3">
      <c r="C32" s="26"/>
      <c r="D32" s="23"/>
      <c r="E32" s="21"/>
      <c r="F32" s="21"/>
      <c r="G32" s="21"/>
      <c r="H32" s="35"/>
    </row>
    <row r="33" spans="3:8" x14ac:dyDescent="0.25">
      <c r="C33" s="26">
        <v>1.2889999999999999</v>
      </c>
      <c r="D33" s="6" t="s">
        <v>158</v>
      </c>
      <c r="E33" s="21">
        <f>AVERAGE(C33:C35)</f>
        <v>1.2629999999999999</v>
      </c>
      <c r="F33" s="21">
        <f>254.74*E33 - 18.2</f>
        <v>303.53661999999997</v>
      </c>
      <c r="G33" s="21">
        <v>221.01671999999999</v>
      </c>
      <c r="H33" s="35">
        <f>AVERAGE(F33:G33)</f>
        <v>262.27666999999997</v>
      </c>
    </row>
    <row r="34" spans="3:8" x14ac:dyDescent="0.25">
      <c r="C34" s="26">
        <v>1.2370000000000001</v>
      </c>
      <c r="D34" s="4">
        <v>8892</v>
      </c>
      <c r="E34" s="21"/>
      <c r="F34" s="21"/>
      <c r="G34" s="21"/>
      <c r="H34" s="35"/>
    </row>
    <row r="35" spans="3:8" ht="13.8" thickBot="1" x14ac:dyDescent="0.3">
      <c r="C35" s="30"/>
      <c r="D35" s="31"/>
      <c r="E35" s="32"/>
      <c r="F35" s="32"/>
      <c r="G35" s="32"/>
      <c r="H35" s="37"/>
    </row>
    <row r="36" spans="3:8" x14ac:dyDescent="0.25">
      <c r="C36" s="24">
        <v>0.44800000000000001</v>
      </c>
      <c r="D36" s="7" t="s">
        <v>159</v>
      </c>
      <c r="E36" s="25">
        <f>AVERAGE(C36:C38)</f>
        <v>0.41249999999999998</v>
      </c>
      <c r="F36" s="25">
        <f>254.74*E36 - 18.2</f>
        <v>86.88024999999999</v>
      </c>
      <c r="G36" s="25">
        <v>82.390799999999984</v>
      </c>
      <c r="H36" s="52">
        <f>AVERAGE(F36:G36)</f>
        <v>84.635524999999987</v>
      </c>
    </row>
    <row r="37" spans="3:8" x14ac:dyDescent="0.25">
      <c r="C37" s="26">
        <v>0.377</v>
      </c>
      <c r="D37" s="33">
        <v>8455</v>
      </c>
      <c r="E37" s="21"/>
      <c r="F37" s="21"/>
      <c r="G37" s="21"/>
      <c r="H37" s="35"/>
    </row>
    <row r="38" spans="3:8" x14ac:dyDescent="0.25">
      <c r="C38" s="26"/>
      <c r="D38" s="23"/>
      <c r="E38" s="21"/>
      <c r="F38" s="21"/>
      <c r="G38" s="21"/>
      <c r="H38" s="35"/>
    </row>
    <row r="39" spans="3:8" x14ac:dyDescent="0.25">
      <c r="C39" s="26">
        <v>0.48799999999999999</v>
      </c>
      <c r="D39" s="33" t="s">
        <v>159</v>
      </c>
      <c r="E39" s="21">
        <f>AVERAGE(C39:C41)</f>
        <v>0.49049999999999999</v>
      </c>
      <c r="F39" s="21">
        <f>254.74*E39 - 18.2</f>
        <v>106.74997</v>
      </c>
      <c r="G39" s="21">
        <v>91.970640000000003</v>
      </c>
      <c r="H39" s="35">
        <f>AVERAGE(F39:G39)</f>
        <v>99.360305000000011</v>
      </c>
    </row>
    <row r="40" spans="3:8" x14ac:dyDescent="0.25">
      <c r="C40" s="26">
        <v>0.49299999999999999</v>
      </c>
      <c r="D40" s="33">
        <v>8468</v>
      </c>
      <c r="E40" s="21"/>
      <c r="F40" s="21"/>
      <c r="G40" s="21"/>
      <c r="H40" s="35"/>
    </row>
    <row r="41" spans="3:8" x14ac:dyDescent="0.25">
      <c r="C41" s="26"/>
      <c r="D41" s="23"/>
      <c r="E41" s="21"/>
      <c r="F41" s="21"/>
      <c r="G41" s="21"/>
      <c r="H41" s="35"/>
    </row>
    <row r="42" spans="3:8" x14ac:dyDescent="0.25">
      <c r="C42" s="26">
        <v>0.51400000000000001</v>
      </c>
      <c r="D42" s="33" t="s">
        <v>159</v>
      </c>
      <c r="E42" s="21">
        <f>AVERAGE(C42:C44)</f>
        <v>0.52800000000000002</v>
      </c>
      <c r="F42" s="21">
        <f>254.74*E42 - 18.2</f>
        <v>116.30272000000001</v>
      </c>
      <c r="G42" s="21">
        <v>117.18816000000001</v>
      </c>
      <c r="H42" s="35">
        <f>AVERAGE(F42:G42)</f>
        <v>116.74544</v>
      </c>
    </row>
    <row r="43" spans="3:8" x14ac:dyDescent="0.25">
      <c r="C43" s="26">
        <v>0.54200000000000004</v>
      </c>
      <c r="D43" s="33">
        <v>8829</v>
      </c>
      <c r="E43" s="21"/>
      <c r="F43" s="21"/>
      <c r="G43" s="21"/>
      <c r="H43" s="35"/>
    </row>
    <row r="44" spans="3:8" x14ac:dyDescent="0.25">
      <c r="C44" s="26"/>
      <c r="D44" s="23"/>
      <c r="E44" s="21"/>
      <c r="F44" s="21"/>
      <c r="G44" s="21"/>
      <c r="H44" s="35"/>
    </row>
    <row r="45" spans="3:8" x14ac:dyDescent="0.25">
      <c r="C45" s="26">
        <v>0.51300000000000001</v>
      </c>
      <c r="D45" s="33" t="s">
        <v>159</v>
      </c>
      <c r="E45" s="21">
        <f>AVERAGE(C45:C47)</f>
        <v>0.497</v>
      </c>
      <c r="F45" s="21">
        <f>254.74*E45 - 18.2</f>
        <v>108.40578000000001</v>
      </c>
      <c r="G45" s="21">
        <v>86.194559999999996</v>
      </c>
      <c r="H45" s="35">
        <f>AVERAGE(F45:G45)</f>
        <v>97.300170000000008</v>
      </c>
    </row>
    <row r="46" spans="3:8" x14ac:dyDescent="0.25">
      <c r="C46" s="26">
        <v>0.48099999999999998</v>
      </c>
      <c r="D46" s="33">
        <v>8053</v>
      </c>
      <c r="E46" s="21"/>
      <c r="F46" s="21"/>
      <c r="G46" s="21"/>
      <c r="H46" s="35"/>
    </row>
    <row r="47" spans="3:8" x14ac:dyDescent="0.25">
      <c r="C47" s="26"/>
      <c r="D47" s="23"/>
      <c r="E47" s="21"/>
      <c r="F47" s="21"/>
      <c r="G47" s="21"/>
      <c r="H47" s="35"/>
    </row>
    <row r="48" spans="3:8" x14ac:dyDescent="0.25">
      <c r="C48" s="26">
        <v>0.627</v>
      </c>
      <c r="D48" s="33" t="s">
        <v>159</v>
      </c>
      <c r="E48" s="21">
        <f>AVERAGE(C48:C50)</f>
        <v>0.64149999999999996</v>
      </c>
      <c r="F48" s="21">
        <f>254.74*E48 - 18.2</f>
        <v>145.21571</v>
      </c>
      <c r="G48" s="21">
        <v>123.66864000000001</v>
      </c>
      <c r="H48" s="35">
        <f>AVERAGE(F48:G48)</f>
        <v>134.44217500000002</v>
      </c>
    </row>
    <row r="49" spans="2:15" x14ac:dyDescent="0.25">
      <c r="C49" s="26">
        <v>0.65600000000000003</v>
      </c>
      <c r="D49" s="33">
        <v>8453</v>
      </c>
      <c r="E49" s="21"/>
      <c r="F49" s="21"/>
      <c r="G49" s="21"/>
      <c r="H49" s="35"/>
    </row>
    <row r="50" spans="2:15" x14ac:dyDescent="0.25">
      <c r="C50" s="26"/>
      <c r="D50" s="23"/>
      <c r="E50" s="21"/>
      <c r="F50" s="21"/>
      <c r="G50" s="21"/>
      <c r="H50" s="35"/>
    </row>
    <row r="51" spans="2:15" x14ac:dyDescent="0.25">
      <c r="C51" s="26">
        <v>0.49099999999999999</v>
      </c>
      <c r="D51" s="33" t="s">
        <v>159</v>
      </c>
      <c r="E51" s="21">
        <f>AVERAGE(C51:C53)</f>
        <v>0.47950000000000004</v>
      </c>
      <c r="F51" s="21">
        <f>254.74*E51 - 18.2</f>
        <v>103.94783000000001</v>
      </c>
      <c r="G51" s="21">
        <v>62.808479999999989</v>
      </c>
      <c r="H51" s="35">
        <f>AVERAGE(F51:G51)</f>
        <v>83.378154999999992</v>
      </c>
    </row>
    <row r="52" spans="2:15" x14ac:dyDescent="0.25">
      <c r="B52" t="s">
        <v>0</v>
      </c>
      <c r="C52" s="26">
        <v>0.46800000000000003</v>
      </c>
      <c r="D52" s="33">
        <v>8516</v>
      </c>
      <c r="E52" s="21"/>
      <c r="F52" s="21"/>
      <c r="G52" s="21"/>
      <c r="H52" s="35"/>
    </row>
    <row r="53" spans="2:15" x14ac:dyDescent="0.25">
      <c r="C53" s="26"/>
      <c r="D53" s="23"/>
      <c r="E53" s="21"/>
      <c r="F53" s="21"/>
      <c r="G53" s="21"/>
      <c r="H53" s="35"/>
      <c r="K53" s="1"/>
      <c r="L53" s="1"/>
      <c r="M53" s="1"/>
      <c r="O53" s="1"/>
    </row>
    <row r="54" spans="2:15" x14ac:dyDescent="0.25">
      <c r="C54" s="26">
        <v>0.55000000000000004</v>
      </c>
      <c r="D54" s="33" t="s">
        <v>159</v>
      </c>
      <c r="E54" s="21">
        <f>AVERAGE(C54:C56)</f>
        <v>0.53400000000000003</v>
      </c>
      <c r="F54" s="21">
        <f>254.74*E54 - 18.2</f>
        <v>117.83116</v>
      </c>
      <c r="G54" s="21">
        <v>116.34288000000001</v>
      </c>
      <c r="H54" s="35">
        <f>AVERAGE(F54:G54)</f>
        <v>117.08702</v>
      </c>
      <c r="J54" s="1"/>
      <c r="K54" s="1"/>
      <c r="L54" s="1"/>
      <c r="M54" s="1"/>
      <c r="N54" s="1"/>
      <c r="O54" s="1"/>
    </row>
    <row r="55" spans="2:15" x14ac:dyDescent="0.25">
      <c r="C55" s="26">
        <v>0.51800000000000002</v>
      </c>
      <c r="D55" s="33">
        <v>8378</v>
      </c>
      <c r="E55" s="21"/>
      <c r="F55" s="21"/>
      <c r="G55" s="21"/>
      <c r="H55" s="35"/>
      <c r="J55" s="1"/>
      <c r="K55" s="1"/>
      <c r="L55" s="1"/>
      <c r="M55" s="1"/>
      <c r="N55" s="1"/>
      <c r="O55" s="1"/>
    </row>
    <row r="56" spans="2:15" x14ac:dyDescent="0.25">
      <c r="C56" s="26"/>
      <c r="D56" s="23"/>
      <c r="E56" s="21"/>
      <c r="F56" s="21"/>
      <c r="G56" s="21"/>
      <c r="H56" s="35"/>
      <c r="J56" s="1"/>
      <c r="K56" s="1"/>
      <c r="L56" s="1"/>
      <c r="M56" s="1"/>
      <c r="N56" s="1"/>
    </row>
    <row r="57" spans="2:15" x14ac:dyDescent="0.25">
      <c r="C57" s="26">
        <v>0.48</v>
      </c>
      <c r="D57" s="33" t="s">
        <v>159</v>
      </c>
      <c r="E57" s="21">
        <f>AVERAGE(C57:C59)</f>
        <v>0.47350000000000003</v>
      </c>
      <c r="F57" s="21">
        <f>254.74*E57 - 18.2</f>
        <v>102.41939000000001</v>
      </c>
      <c r="G57" s="21">
        <v>73.797120000000007</v>
      </c>
      <c r="H57" s="35">
        <f>AVERAGE(F57:G57)</f>
        <v>88.108255000000014</v>
      </c>
    </row>
    <row r="58" spans="2:15" x14ac:dyDescent="0.25">
      <c r="C58" s="26">
        <v>0.46700000000000003</v>
      </c>
      <c r="D58" s="33">
        <v>8467</v>
      </c>
      <c r="E58" s="21"/>
      <c r="F58" s="21"/>
      <c r="G58" s="21"/>
      <c r="H58" s="35"/>
    </row>
    <row r="59" spans="2:15" x14ac:dyDescent="0.25">
      <c r="C59" s="26"/>
      <c r="D59" s="23"/>
      <c r="E59" s="21"/>
      <c r="F59" s="21"/>
      <c r="G59" s="21"/>
      <c r="H59" s="35"/>
    </row>
    <row r="60" spans="2:15" x14ac:dyDescent="0.25">
      <c r="C60" s="26">
        <v>0.63</v>
      </c>
      <c r="D60" s="33" t="s">
        <v>159</v>
      </c>
      <c r="E60" s="21">
        <f>AVERAGE(C60:C62)</f>
        <v>0.61899999999999999</v>
      </c>
      <c r="F60" s="21">
        <f>254.74*E60 - 18.2</f>
        <v>139.48406000000003</v>
      </c>
      <c r="G60" s="21">
        <v>149.87232</v>
      </c>
      <c r="H60" s="35">
        <f>AVERAGE(F60:G60)</f>
        <v>144.67819000000003</v>
      </c>
    </row>
    <row r="61" spans="2:15" x14ac:dyDescent="0.25">
      <c r="C61" s="26">
        <v>0.60799999999999998</v>
      </c>
      <c r="D61" s="33">
        <v>8270</v>
      </c>
      <c r="E61" s="21"/>
      <c r="F61" s="21"/>
      <c r="G61" s="21"/>
      <c r="H61" s="35"/>
    </row>
    <row r="62" spans="2:15" ht="13.8" thickBot="1" x14ac:dyDescent="0.3">
      <c r="C62" s="30"/>
      <c r="D62" s="31"/>
      <c r="E62" s="32"/>
      <c r="F62" s="32"/>
      <c r="G62" s="32"/>
      <c r="H62" s="37"/>
    </row>
    <row r="63" spans="2:15" x14ac:dyDescent="0.25">
      <c r="C63" s="24">
        <v>1.0920000000000001</v>
      </c>
      <c r="D63" s="11" t="s">
        <v>160</v>
      </c>
      <c r="E63" s="25">
        <f>AVERAGE(C63:C65)</f>
        <v>0.998</v>
      </c>
      <c r="F63" s="25">
        <f>254.74*E63 - 18.2</f>
        <v>236.03052000000002</v>
      </c>
      <c r="G63" s="25">
        <v>213.69095999999999</v>
      </c>
      <c r="H63" s="52">
        <f>AVERAGE(F63:G63)</f>
        <v>224.86074000000002</v>
      </c>
    </row>
    <row r="64" spans="2:15" x14ac:dyDescent="0.25">
      <c r="C64" s="26">
        <v>0.90400000000000003</v>
      </c>
      <c r="D64" s="12">
        <v>8182</v>
      </c>
      <c r="E64" s="21"/>
      <c r="F64" s="21"/>
      <c r="G64" s="21"/>
      <c r="H64" s="35"/>
    </row>
    <row r="65" spans="3:9" x14ac:dyDescent="0.25">
      <c r="C65" s="26"/>
      <c r="D65" s="23"/>
      <c r="E65" s="21"/>
      <c r="F65" s="21"/>
      <c r="G65" s="21"/>
      <c r="H65" s="35"/>
    </row>
    <row r="66" spans="3:9" x14ac:dyDescent="0.25">
      <c r="C66" s="26">
        <v>1.194</v>
      </c>
      <c r="D66" s="12" t="s">
        <v>160</v>
      </c>
      <c r="E66" s="21">
        <f>AVERAGE(C66:C68)</f>
        <v>1.1034999999999999</v>
      </c>
      <c r="F66" s="21">
        <f>254.74*E66 - 18.2</f>
        <v>262.90559000000002</v>
      </c>
      <c r="G66" s="21">
        <v>185.51496000000003</v>
      </c>
      <c r="H66" s="35">
        <f>AVERAGE(F66:G66)</f>
        <v>224.21027500000002</v>
      </c>
    </row>
    <row r="67" spans="3:9" x14ac:dyDescent="0.25">
      <c r="C67" s="26">
        <v>1.0129999999999999</v>
      </c>
      <c r="D67" s="12">
        <v>8876</v>
      </c>
      <c r="E67" s="21"/>
      <c r="F67" s="21"/>
      <c r="G67" s="21"/>
      <c r="H67" s="35"/>
    </row>
    <row r="68" spans="3:9" x14ac:dyDescent="0.25">
      <c r="C68" s="26"/>
      <c r="D68" s="23"/>
      <c r="E68" s="21"/>
      <c r="F68" s="21"/>
      <c r="G68" s="21"/>
      <c r="H68" s="35"/>
    </row>
    <row r="69" spans="3:9" x14ac:dyDescent="0.25">
      <c r="C69" s="26">
        <v>0.48499999999999999</v>
      </c>
      <c r="D69" s="12" t="s">
        <v>160</v>
      </c>
      <c r="E69" s="21">
        <f>AVERAGE(C69:C71)</f>
        <v>0.55800000000000005</v>
      </c>
      <c r="F69" s="21">
        <f>254.74*E69 - 18.2</f>
        <v>123.94492000000001</v>
      </c>
      <c r="G69" s="21">
        <v>86.617199999999997</v>
      </c>
      <c r="H69" s="35">
        <f>AVERAGE(F69:G69)</f>
        <v>105.28106</v>
      </c>
    </row>
    <row r="70" spans="3:9" x14ac:dyDescent="0.25">
      <c r="C70" s="26">
        <v>0.63100000000000001</v>
      </c>
      <c r="D70" s="12">
        <v>8880</v>
      </c>
      <c r="E70" s="21"/>
      <c r="F70" s="21"/>
      <c r="G70" s="21"/>
      <c r="H70" s="35"/>
    </row>
    <row r="71" spans="3:9" x14ac:dyDescent="0.25">
      <c r="C71" s="26"/>
      <c r="D71" s="23"/>
      <c r="E71" s="21"/>
      <c r="F71" s="21"/>
      <c r="G71" s="21"/>
      <c r="H71" s="35"/>
    </row>
    <row r="72" spans="3:9" x14ac:dyDescent="0.25">
      <c r="C72" s="26">
        <v>1.117</v>
      </c>
      <c r="D72" s="12" t="s">
        <v>160</v>
      </c>
      <c r="E72" s="21">
        <f>AVERAGE(C72:C74)</f>
        <v>1.1259999999999999</v>
      </c>
      <c r="F72" s="21">
        <f>254.74*E72 - 18.2</f>
        <v>268.63724000000002</v>
      </c>
      <c r="G72" s="21">
        <v>133.67111999999997</v>
      </c>
      <c r="H72" s="35">
        <f>AVERAGE(F72:G72)</f>
        <v>201.15418</v>
      </c>
    </row>
    <row r="73" spans="3:9" x14ac:dyDescent="0.25">
      <c r="C73" s="26">
        <v>1.135</v>
      </c>
      <c r="D73" s="12">
        <v>8875</v>
      </c>
      <c r="E73" s="21"/>
      <c r="F73" s="21"/>
      <c r="G73" s="21"/>
      <c r="H73" s="35"/>
    </row>
    <row r="74" spans="3:9" x14ac:dyDescent="0.25">
      <c r="C74" s="26"/>
      <c r="D74" s="23"/>
      <c r="E74" s="21"/>
      <c r="F74" s="21"/>
      <c r="G74" s="21"/>
      <c r="H74" s="35"/>
    </row>
    <row r="75" spans="3:9" x14ac:dyDescent="0.25">
      <c r="C75" s="26">
        <v>0.97099999999999997</v>
      </c>
      <c r="D75" s="12" t="s">
        <v>160</v>
      </c>
      <c r="E75" s="21">
        <f>AVERAGE(C75:C77)</f>
        <v>0.96449999999999991</v>
      </c>
      <c r="F75" s="21">
        <f>254.74*E75 - 18.2</f>
        <v>227.49672999999999</v>
      </c>
      <c r="G75" s="21">
        <v>179.59799999999998</v>
      </c>
      <c r="H75" s="35">
        <f>AVERAGE(F75:G75)</f>
        <v>203.54736499999999</v>
      </c>
    </row>
    <row r="76" spans="3:9" x14ac:dyDescent="0.25">
      <c r="C76" s="26">
        <v>0.95799999999999996</v>
      </c>
      <c r="D76" s="12">
        <v>8507</v>
      </c>
      <c r="E76" s="21"/>
      <c r="F76" s="21"/>
      <c r="G76" s="21"/>
      <c r="H76" s="35"/>
    </row>
    <row r="77" spans="3:9" x14ac:dyDescent="0.25">
      <c r="C77" s="26"/>
      <c r="D77" s="23"/>
      <c r="E77" s="21"/>
      <c r="F77" s="21"/>
      <c r="G77" s="21"/>
      <c r="H77" s="35"/>
    </row>
    <row r="78" spans="3:9" x14ac:dyDescent="0.25">
      <c r="C78" s="26">
        <v>0.77</v>
      </c>
      <c r="D78" s="12" t="s">
        <v>160</v>
      </c>
      <c r="E78" s="21">
        <f>AVERAGE(C78:C80)</f>
        <v>0.80200000000000005</v>
      </c>
      <c r="F78" s="21">
        <f>254.74*E78 - 18.2</f>
        <v>186.10148000000004</v>
      </c>
      <c r="G78" s="21">
        <v>148.88615999999999</v>
      </c>
      <c r="H78" s="35">
        <f>AVERAGE(F78:G78)</f>
        <v>167.49382000000003</v>
      </c>
      <c r="I78" s="137"/>
    </row>
    <row r="79" spans="3:9" x14ac:dyDescent="0.25">
      <c r="C79" s="26">
        <v>0.83399999999999996</v>
      </c>
      <c r="D79" s="12">
        <v>8715</v>
      </c>
      <c r="E79" s="21"/>
      <c r="F79" s="21"/>
      <c r="G79" s="21"/>
      <c r="H79" s="35"/>
      <c r="I79" s="137"/>
    </row>
    <row r="80" spans="3:9" x14ac:dyDescent="0.25">
      <c r="C80" s="26"/>
      <c r="D80" s="23"/>
      <c r="E80" s="21"/>
      <c r="F80" s="21"/>
      <c r="G80" s="21"/>
      <c r="H80" s="35"/>
      <c r="I80" s="137"/>
    </row>
    <row r="81" spans="3:9" x14ac:dyDescent="0.25">
      <c r="C81" s="26">
        <v>0.88300000000000001</v>
      </c>
      <c r="D81" s="12" t="s">
        <v>160</v>
      </c>
      <c r="E81" s="21">
        <f>AVERAGE(C81:C83)</f>
        <v>0.85749999999999993</v>
      </c>
      <c r="F81" s="21">
        <f>254.74*E81 - 18.2</f>
        <v>200.23955000000001</v>
      </c>
      <c r="G81" s="21">
        <v>170.15904000000003</v>
      </c>
      <c r="H81" s="35">
        <f>AVERAGE(F81:G81)</f>
        <v>185.19929500000001</v>
      </c>
      <c r="I81" s="137"/>
    </row>
    <row r="82" spans="3:9" x14ac:dyDescent="0.25">
      <c r="C82" s="26">
        <v>0.83199999999999996</v>
      </c>
      <c r="D82" s="12">
        <v>8718</v>
      </c>
      <c r="E82" s="21"/>
      <c r="F82" s="21"/>
      <c r="G82" s="21"/>
      <c r="H82" s="35"/>
      <c r="I82" s="137"/>
    </row>
    <row r="83" spans="3:9" x14ac:dyDescent="0.25">
      <c r="C83" s="26"/>
      <c r="D83" s="23"/>
      <c r="E83" s="21"/>
      <c r="F83" s="21"/>
      <c r="G83" s="21"/>
      <c r="H83" s="35"/>
      <c r="I83" s="137"/>
    </row>
    <row r="84" spans="3:9" x14ac:dyDescent="0.25">
      <c r="C84" s="26">
        <v>0.97299999999999998</v>
      </c>
      <c r="D84" s="12" t="s">
        <v>160</v>
      </c>
      <c r="E84" s="21">
        <f>AVERAGE(C84:C86)</f>
        <v>1.4510000000000001</v>
      </c>
      <c r="F84" s="21">
        <f>254.74*E84 - 18.2</f>
        <v>351.42774000000003</v>
      </c>
      <c r="G84" s="21">
        <v>169.17287999999999</v>
      </c>
      <c r="H84" s="35">
        <f>AVERAGE(F84:G84)</f>
        <v>260.30031000000002</v>
      </c>
      <c r="I84" s="137"/>
    </row>
    <row r="85" spans="3:9" x14ac:dyDescent="0.25">
      <c r="C85" s="26">
        <v>1.929</v>
      </c>
      <c r="D85" s="12">
        <v>8877</v>
      </c>
      <c r="E85" s="21"/>
      <c r="F85" s="21"/>
      <c r="G85" s="21"/>
      <c r="H85" s="35"/>
    </row>
    <row r="86" spans="3:9" x14ac:dyDescent="0.25">
      <c r="C86" s="26"/>
      <c r="D86" s="23"/>
      <c r="E86" s="21"/>
      <c r="F86" s="21"/>
      <c r="G86" s="21"/>
      <c r="H86" s="35"/>
    </row>
    <row r="87" spans="3:9" x14ac:dyDescent="0.25">
      <c r="C87" s="26">
        <v>0.61699999999999999</v>
      </c>
      <c r="D87" s="12" t="s">
        <v>160</v>
      </c>
      <c r="E87" s="21">
        <f>AVERAGE(C87:C89)</f>
        <v>0.59199999999999997</v>
      </c>
      <c r="F87" s="21">
        <f>254.74*E87 - 18.2</f>
        <v>132.60608000000002</v>
      </c>
      <c r="G87" s="21">
        <v>151.56288000000001</v>
      </c>
      <c r="H87" s="35">
        <f>AVERAGE(F87:G87)</f>
        <v>142.08448000000001</v>
      </c>
    </row>
    <row r="88" spans="3:9" x14ac:dyDescent="0.25">
      <c r="C88" s="26">
        <v>0.56699999999999995</v>
      </c>
      <c r="D88" s="12">
        <v>8714</v>
      </c>
      <c r="E88" s="21"/>
      <c r="F88" s="21"/>
      <c r="G88" s="21"/>
      <c r="H88" s="35"/>
    </row>
    <row r="89" spans="3:9" ht="13.8" thickBot="1" x14ac:dyDescent="0.3">
      <c r="C89" s="30"/>
      <c r="D89" s="31"/>
      <c r="E89" s="32"/>
      <c r="F89" s="32"/>
      <c r="G89" s="32"/>
      <c r="H89" s="37"/>
    </row>
    <row r="90" spans="3:9" x14ac:dyDescent="0.25">
      <c r="C90" s="24">
        <v>0.53500000000000003</v>
      </c>
      <c r="D90" s="300" t="s">
        <v>161</v>
      </c>
      <c r="E90" s="25"/>
      <c r="F90" s="25"/>
      <c r="G90" s="25"/>
      <c r="H90" s="52"/>
    </row>
    <row r="91" spans="3:9" x14ac:dyDescent="0.25">
      <c r="C91" s="26">
        <v>0.61499999999999999</v>
      </c>
      <c r="D91" s="301">
        <v>8839</v>
      </c>
      <c r="E91" s="21">
        <f>AVERAGE(C90:C92)</f>
        <v>0.57499999999999996</v>
      </c>
      <c r="F91" s="21">
        <f>254.74*E91 - 18.2</f>
        <v>128.27549999999999</v>
      </c>
      <c r="G91" s="21">
        <v>103.94543999999999</v>
      </c>
      <c r="H91" s="35">
        <f>AVERAGE(F91:G91)</f>
        <v>116.11046999999999</v>
      </c>
    </row>
    <row r="92" spans="3:9" x14ac:dyDescent="0.25">
      <c r="C92" s="26"/>
      <c r="D92" s="23"/>
      <c r="E92" s="21"/>
      <c r="F92" s="21"/>
      <c r="G92" s="21"/>
      <c r="H92" s="35"/>
    </row>
    <row r="93" spans="3:9" x14ac:dyDescent="0.25">
      <c r="C93" s="26">
        <v>0.54700000000000004</v>
      </c>
      <c r="D93" s="302" t="s">
        <v>161</v>
      </c>
      <c r="E93" s="21">
        <f>AVERAGE(C93:C95)</f>
        <v>0.56850000000000001</v>
      </c>
      <c r="F93" s="21">
        <f>254.74*E93 - 18.2</f>
        <v>126.61969000000001</v>
      </c>
      <c r="G93" s="57">
        <v>157.47983999999997</v>
      </c>
      <c r="H93" s="35">
        <f>AVERAGE(F93:G93)</f>
        <v>142.04976499999998</v>
      </c>
    </row>
    <row r="94" spans="3:9" x14ac:dyDescent="0.25">
      <c r="C94" s="26">
        <v>0.59</v>
      </c>
      <c r="D94" s="301">
        <v>8386</v>
      </c>
      <c r="E94" s="21"/>
      <c r="F94" s="21"/>
      <c r="G94" s="57"/>
      <c r="H94" s="34"/>
    </row>
    <row r="95" spans="3:9" x14ac:dyDescent="0.25">
      <c r="C95" s="26"/>
      <c r="D95" s="23"/>
      <c r="E95" s="21"/>
      <c r="F95" s="21"/>
      <c r="G95" s="57"/>
      <c r="H95" s="34"/>
    </row>
    <row r="96" spans="3:9" x14ac:dyDescent="0.25">
      <c r="C96" s="26">
        <v>0.30599999999999999</v>
      </c>
      <c r="D96" s="302" t="s">
        <v>161</v>
      </c>
      <c r="E96" s="21">
        <f>AVERAGE(C96:C98)</f>
        <v>0.33250000000000002</v>
      </c>
      <c r="F96" s="21">
        <f>254.74*E96 - 18.2</f>
        <v>66.501050000000006</v>
      </c>
      <c r="G96" s="57">
        <v>55.200959999999995</v>
      </c>
      <c r="H96" s="35">
        <f>AVERAGE(F96:G96)</f>
        <v>60.851005000000001</v>
      </c>
    </row>
    <row r="97" spans="3:8" x14ac:dyDescent="0.25">
      <c r="C97" s="26">
        <v>0.35899999999999999</v>
      </c>
      <c r="D97" s="301">
        <v>8550</v>
      </c>
      <c r="E97" s="21"/>
      <c r="F97" s="21"/>
      <c r="G97" s="21"/>
      <c r="H97" s="35"/>
    </row>
    <row r="98" spans="3:8" x14ac:dyDescent="0.25">
      <c r="C98" s="26"/>
      <c r="D98" s="23"/>
      <c r="E98" s="21"/>
      <c r="F98" s="21"/>
      <c r="G98" s="21"/>
      <c r="H98" s="35"/>
    </row>
    <row r="99" spans="3:8" x14ac:dyDescent="0.25">
      <c r="C99" s="26">
        <v>0.48699999999999999</v>
      </c>
      <c r="D99" s="302" t="s">
        <v>161</v>
      </c>
      <c r="E99" s="21">
        <f>AVERAGE(C99:C101)</f>
        <v>0.48349999999999999</v>
      </c>
      <c r="F99" s="21">
        <f>254.74*E99 - 18.2</f>
        <v>104.96679</v>
      </c>
      <c r="G99" s="21">
        <v>75.910319999999999</v>
      </c>
      <c r="H99" s="35">
        <f>AVERAGE(F99:G99)</f>
        <v>90.438555000000008</v>
      </c>
    </row>
    <row r="100" spans="3:8" x14ac:dyDescent="0.25">
      <c r="C100" s="26">
        <v>0.48</v>
      </c>
      <c r="D100" s="301">
        <v>8352</v>
      </c>
      <c r="E100" s="21"/>
      <c r="F100" s="21"/>
      <c r="G100" s="21"/>
      <c r="H100" s="35"/>
    </row>
    <row r="101" spans="3:8" x14ac:dyDescent="0.25">
      <c r="C101" s="26"/>
      <c r="D101" s="23"/>
      <c r="E101" s="21"/>
      <c r="F101" s="21"/>
      <c r="G101" s="21"/>
      <c r="H101" s="35"/>
    </row>
    <row r="102" spans="3:8" x14ac:dyDescent="0.25">
      <c r="C102" s="26">
        <v>0.55100000000000005</v>
      </c>
      <c r="D102" s="302" t="s">
        <v>161</v>
      </c>
      <c r="E102" s="21">
        <f>AVERAGE(C102:C104)</f>
        <v>0.60450000000000004</v>
      </c>
      <c r="F102" s="21">
        <f>254.74*E102 - 18.2</f>
        <v>135.79033000000004</v>
      </c>
      <c r="G102" s="21">
        <v>140.1516</v>
      </c>
      <c r="H102" s="35">
        <f>AVERAGE(F102:G102)</f>
        <v>137.97096500000004</v>
      </c>
    </row>
    <row r="103" spans="3:8" x14ac:dyDescent="0.25">
      <c r="C103" s="26">
        <v>0.65800000000000003</v>
      </c>
      <c r="D103" s="301">
        <v>8675</v>
      </c>
      <c r="E103" s="21"/>
      <c r="F103" s="21"/>
      <c r="G103" s="21"/>
      <c r="H103" s="35"/>
    </row>
    <row r="104" spans="3:8" x14ac:dyDescent="0.25">
      <c r="C104" s="26"/>
      <c r="D104" s="23"/>
      <c r="E104" s="21"/>
      <c r="F104" s="21"/>
      <c r="G104" s="21"/>
      <c r="H104" s="35"/>
    </row>
    <row r="105" spans="3:8" x14ac:dyDescent="0.25">
      <c r="C105" s="26">
        <v>0.59099999999999997</v>
      </c>
      <c r="D105" s="302" t="s">
        <v>161</v>
      </c>
      <c r="E105" s="21"/>
      <c r="F105" s="21"/>
      <c r="G105" s="21"/>
      <c r="H105" s="35"/>
    </row>
    <row r="106" spans="3:8" x14ac:dyDescent="0.25">
      <c r="C106" s="26">
        <v>0.57299999999999995</v>
      </c>
      <c r="D106" s="301">
        <v>7881</v>
      </c>
      <c r="E106" s="21">
        <f>AVERAGE(C105:C107)</f>
        <v>0.58199999999999996</v>
      </c>
      <c r="F106" s="21">
        <f>254.74*E106 - 18.2</f>
        <v>130.05868000000001</v>
      </c>
      <c r="G106" s="21">
        <v>97.183199999999999</v>
      </c>
      <c r="H106" s="35">
        <f>AVERAGE(F106:G106)</f>
        <v>113.62094</v>
      </c>
    </row>
    <row r="107" spans="3:8" x14ac:dyDescent="0.25">
      <c r="C107" s="26"/>
      <c r="D107" s="23"/>
      <c r="E107" s="21"/>
      <c r="F107" s="21"/>
      <c r="G107" s="21"/>
      <c r="H107" s="35"/>
    </row>
    <row r="108" spans="3:8" x14ac:dyDescent="0.25">
      <c r="C108" s="26">
        <v>0.49099999999999999</v>
      </c>
      <c r="D108" s="302" t="s">
        <v>161</v>
      </c>
      <c r="E108" s="21">
        <f>AVERAGE(C108:C110)</f>
        <v>0.47699999999999998</v>
      </c>
      <c r="F108" s="21">
        <f>254.74*E108 - 18.2</f>
        <v>103.31098</v>
      </c>
      <c r="G108" s="21">
        <v>107.46743999999998</v>
      </c>
      <c r="H108" s="35">
        <f>AVERAGE(F108:G108)</f>
        <v>105.38920999999999</v>
      </c>
    </row>
    <row r="109" spans="3:8" x14ac:dyDescent="0.25">
      <c r="C109" s="26">
        <v>0.46300000000000002</v>
      </c>
      <c r="D109" s="301">
        <v>8750</v>
      </c>
      <c r="E109" s="21"/>
      <c r="F109" s="21"/>
      <c r="G109" s="21"/>
      <c r="H109" s="35"/>
    </row>
    <row r="110" spans="3:8" x14ac:dyDescent="0.25">
      <c r="C110" s="26"/>
      <c r="D110" s="23"/>
      <c r="E110" s="21"/>
      <c r="F110" s="21"/>
      <c r="G110" s="21"/>
      <c r="H110" s="35"/>
    </row>
    <row r="111" spans="3:8" x14ac:dyDescent="0.25">
      <c r="C111" s="26">
        <v>0.50900000000000001</v>
      </c>
      <c r="D111" s="302" t="s">
        <v>161</v>
      </c>
      <c r="E111" s="21">
        <f>AVERAGE(C111:C113)</f>
        <v>0.52150000000000007</v>
      </c>
      <c r="F111" s="21">
        <f>254.74*E111 - 18.2</f>
        <v>114.64691000000003</v>
      </c>
      <c r="G111" s="57">
        <v>97.464959999999991</v>
      </c>
      <c r="H111" s="35">
        <f>AVERAGE(F111:G111)</f>
        <v>106.05593500000001</v>
      </c>
    </row>
    <row r="112" spans="3:8" x14ac:dyDescent="0.25">
      <c r="C112" s="26">
        <v>0.53400000000000003</v>
      </c>
      <c r="D112" s="301">
        <v>8499</v>
      </c>
      <c r="E112" s="21"/>
      <c r="F112" s="21"/>
      <c r="G112" s="21"/>
      <c r="H112" s="35"/>
    </row>
    <row r="113" spans="3:8" x14ac:dyDescent="0.25">
      <c r="C113" s="26"/>
      <c r="D113" s="23"/>
      <c r="E113" s="21"/>
      <c r="F113" s="21"/>
      <c r="G113" s="21"/>
      <c r="H113" s="35"/>
    </row>
    <row r="114" spans="3:8" x14ac:dyDescent="0.25">
      <c r="C114" s="26">
        <v>0.38200000000000001</v>
      </c>
      <c r="D114" s="302" t="s">
        <v>161</v>
      </c>
      <c r="E114" s="21">
        <f>AVERAGE(C114:C116)</f>
        <v>0.36749999999999999</v>
      </c>
      <c r="F114" s="21">
        <f>254.74*E114 - 18.2</f>
        <v>75.41695</v>
      </c>
      <c r="G114" s="21">
        <v>47.170799999999986</v>
      </c>
      <c r="H114" s="35">
        <f>AVERAGE(F114:G114)</f>
        <v>61.293874999999993</v>
      </c>
    </row>
    <row r="115" spans="3:8" x14ac:dyDescent="0.25">
      <c r="C115" s="26">
        <v>0.35299999999999998</v>
      </c>
      <c r="D115" s="301">
        <v>8462</v>
      </c>
      <c r="E115" s="21"/>
      <c r="F115" s="21"/>
      <c r="G115" s="21"/>
      <c r="H115" s="35"/>
    </row>
    <row r="116" spans="3:8" x14ac:dyDescent="0.25">
      <c r="C116" s="26"/>
      <c r="D116" s="23"/>
      <c r="E116" s="21"/>
      <c r="F116" s="21"/>
      <c r="G116" s="21"/>
      <c r="H116" s="35"/>
    </row>
    <row r="117" spans="3:8" x14ac:dyDescent="0.25">
      <c r="C117" s="26">
        <v>0.74299999999999999</v>
      </c>
      <c r="D117" s="302" t="s">
        <v>161</v>
      </c>
      <c r="E117" s="21">
        <f>AVERAGE(C117:C119)</f>
        <v>0.71550000000000002</v>
      </c>
      <c r="F117" s="21">
        <f>254.74*E117 - 18.2</f>
        <v>164.06647000000004</v>
      </c>
      <c r="G117" s="21">
        <v>177.76656</v>
      </c>
      <c r="H117" s="35">
        <f>AVERAGE(F117:G117)</f>
        <v>170.916515</v>
      </c>
    </row>
    <row r="118" spans="3:8" x14ac:dyDescent="0.25">
      <c r="C118" s="26">
        <v>0.68799999999999994</v>
      </c>
      <c r="D118" s="301">
        <v>8767</v>
      </c>
      <c r="E118" s="21"/>
      <c r="F118" s="21"/>
      <c r="G118" s="21"/>
      <c r="H118" s="35"/>
    </row>
    <row r="119" spans="3:8" x14ac:dyDescent="0.25">
      <c r="C119" s="26"/>
      <c r="D119" s="23"/>
      <c r="E119" s="21"/>
      <c r="F119" s="21"/>
      <c r="G119" s="21"/>
      <c r="H119" s="35"/>
    </row>
    <row r="120" spans="3:8" x14ac:dyDescent="0.25">
      <c r="C120" s="26">
        <v>0.58199999999999996</v>
      </c>
      <c r="D120" s="302" t="s">
        <v>161</v>
      </c>
      <c r="E120" s="21"/>
      <c r="F120" s="21"/>
      <c r="G120" s="21"/>
      <c r="H120" s="35"/>
    </row>
    <row r="121" spans="3:8" x14ac:dyDescent="0.25">
      <c r="C121" s="26">
        <v>0.62</v>
      </c>
      <c r="D121" s="301">
        <v>8344</v>
      </c>
      <c r="E121" s="21">
        <f>AVERAGE(C120:C122)</f>
        <v>0.60099999999999998</v>
      </c>
      <c r="F121" s="21">
        <f>254.74*E121 - 18.2</f>
        <v>134.89874</v>
      </c>
      <c r="G121" s="21">
        <v>103.66368</v>
      </c>
      <c r="H121" s="35">
        <f>AVERAGE(F121:G121)</f>
        <v>119.28121</v>
      </c>
    </row>
    <row r="122" spans="3:8" ht="13.8" thickBot="1" x14ac:dyDescent="0.3">
      <c r="C122" s="27"/>
      <c r="D122" s="28"/>
      <c r="E122" s="29"/>
      <c r="F122" s="29"/>
      <c r="G122" s="29"/>
      <c r="H122" s="36"/>
    </row>
    <row r="123" spans="3:8" x14ac:dyDescent="0.25">
      <c r="C123" s="305">
        <v>0.42099999999999999</v>
      </c>
      <c r="D123" s="306" t="s">
        <v>162</v>
      </c>
      <c r="E123" s="46">
        <f>AVERAGE(C123:C125)</f>
        <v>0.40900000000000003</v>
      </c>
      <c r="F123" s="46">
        <f>254.74*E123 - 18.2</f>
        <v>85.98866000000001</v>
      </c>
      <c r="G123" s="46">
        <v>64.780799999999985</v>
      </c>
      <c r="H123" s="136">
        <f>AVERAGE(F123:G123)</f>
        <v>75.38472999999999</v>
      </c>
    </row>
    <row r="124" spans="3:8" x14ac:dyDescent="0.25">
      <c r="C124" s="26">
        <v>0.39700000000000002</v>
      </c>
      <c r="D124" s="303"/>
      <c r="E124" s="21"/>
      <c r="F124" s="21"/>
      <c r="G124" s="21"/>
      <c r="H124" s="35"/>
    </row>
    <row r="125" spans="3:8" x14ac:dyDescent="0.25">
      <c r="C125" s="26"/>
      <c r="D125" s="23"/>
      <c r="E125" s="21"/>
      <c r="F125" s="21"/>
      <c r="G125" s="21"/>
      <c r="H125" s="35"/>
    </row>
    <row r="126" spans="3:8" x14ac:dyDescent="0.25">
      <c r="C126" s="26">
        <v>0.38600000000000001</v>
      </c>
      <c r="D126" s="304" t="s">
        <v>162</v>
      </c>
      <c r="E126" s="21">
        <f>AVERAGE(C126:C128)</f>
        <v>0.378</v>
      </c>
      <c r="F126" s="21">
        <f>254.74*E126 - 18.2</f>
        <v>78.091719999999995</v>
      </c>
      <c r="G126" s="21">
        <v>63.653759999999991</v>
      </c>
      <c r="H126" s="35">
        <f>AVERAGE(F126:G126)</f>
        <v>70.872739999999993</v>
      </c>
    </row>
    <row r="127" spans="3:8" x14ac:dyDescent="0.25">
      <c r="C127" s="26">
        <v>0.37</v>
      </c>
      <c r="D127" s="303"/>
      <c r="E127" s="21"/>
      <c r="F127" s="21"/>
      <c r="G127" s="21"/>
      <c r="H127" s="35"/>
    </row>
    <row r="128" spans="3:8" x14ac:dyDescent="0.25">
      <c r="C128" s="26"/>
      <c r="D128" s="23"/>
      <c r="E128" s="21"/>
      <c r="F128" s="21"/>
      <c r="G128" s="21"/>
      <c r="H128" s="35"/>
    </row>
    <row r="129" spans="3:8" x14ac:dyDescent="0.25">
      <c r="C129" s="26">
        <v>0.42299999999999999</v>
      </c>
      <c r="D129" s="304" t="s">
        <v>162</v>
      </c>
      <c r="E129" s="21">
        <f>AVERAGE(C129:C131)</f>
        <v>0.4395</v>
      </c>
      <c r="F129" s="21">
        <f>254.74*E129 - 18.2</f>
        <v>93.758229999999998</v>
      </c>
      <c r="G129" s="21">
        <v>71.824799999999996</v>
      </c>
      <c r="H129" s="35">
        <f>AVERAGE(F129:G129)</f>
        <v>82.791515000000004</v>
      </c>
    </row>
    <row r="130" spans="3:8" x14ac:dyDescent="0.25">
      <c r="C130" s="26">
        <v>0.45600000000000002</v>
      </c>
      <c r="D130" s="303"/>
      <c r="E130" s="21"/>
      <c r="F130" s="21"/>
      <c r="G130" s="21"/>
      <c r="H130" s="35"/>
    </row>
    <row r="131" spans="3:8" x14ac:dyDescent="0.25">
      <c r="C131" s="26"/>
      <c r="D131" s="23"/>
      <c r="E131" s="21"/>
      <c r="F131" s="21"/>
      <c r="G131" s="21"/>
      <c r="H131" s="35"/>
    </row>
    <row r="132" spans="3:8" x14ac:dyDescent="0.25">
      <c r="C132" s="26">
        <v>0.4</v>
      </c>
      <c r="D132" s="304" t="s">
        <v>162</v>
      </c>
      <c r="E132" s="21"/>
      <c r="F132" s="21"/>
      <c r="G132" s="21"/>
      <c r="H132" s="35"/>
    </row>
    <row r="133" spans="3:8" x14ac:dyDescent="0.25">
      <c r="C133" s="26">
        <v>0.45200000000000001</v>
      </c>
      <c r="D133" s="303"/>
      <c r="E133" s="21">
        <f>AVERAGE(C132:C134)</f>
        <v>0.42600000000000005</v>
      </c>
      <c r="F133" s="21">
        <f>254.74*E133 - 18.2</f>
        <v>90.319240000000008</v>
      </c>
      <c r="G133" s="21">
        <v>64.217279999999988</v>
      </c>
      <c r="H133" s="35">
        <f>AVERAGE(F133:G133)</f>
        <v>77.268259999999998</v>
      </c>
    </row>
    <row r="134" spans="3:8" x14ac:dyDescent="0.25">
      <c r="C134" s="26"/>
      <c r="D134" s="23"/>
      <c r="E134" s="21"/>
      <c r="F134" s="21"/>
      <c r="G134" s="21"/>
      <c r="H134" s="35"/>
    </row>
    <row r="135" spans="3:8" x14ac:dyDescent="0.25">
      <c r="C135" s="26">
        <v>0.48899999999999999</v>
      </c>
      <c r="D135" s="304" t="s">
        <v>162</v>
      </c>
      <c r="E135" s="21">
        <f>AVERAGE(C135:C137)</f>
        <v>0.48249999999999998</v>
      </c>
      <c r="F135" s="21">
        <f>254.74*E135 - 18.2</f>
        <v>104.71204999999999</v>
      </c>
      <c r="G135" s="21">
        <v>86.335439999999991</v>
      </c>
      <c r="H135" s="35">
        <f>AVERAGE(F135:G135)</f>
        <v>95.523744999999991</v>
      </c>
    </row>
    <row r="136" spans="3:8" x14ac:dyDescent="0.25">
      <c r="C136" s="26">
        <v>0.47599999999999998</v>
      </c>
      <c r="D136" s="303"/>
      <c r="E136" s="21"/>
      <c r="F136" s="21"/>
      <c r="G136" s="21"/>
      <c r="H136" s="35"/>
    </row>
    <row r="137" spans="3:8" ht="13.8" thickBot="1" x14ac:dyDescent="0.3">
      <c r="C137" s="27"/>
      <c r="D137" s="28"/>
      <c r="E137" s="29"/>
      <c r="F137" s="29"/>
      <c r="G137" s="29"/>
      <c r="H137" s="36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91"/>
  <sheetViews>
    <sheetView topLeftCell="A72" workbookViewId="0">
      <selection activeCell="E74" sqref="E74:E88"/>
    </sheetView>
  </sheetViews>
  <sheetFormatPr defaultRowHeight="13.2" x14ac:dyDescent="0.25"/>
  <cols>
    <col min="1" max="1" width="16.77734375" customWidth="1"/>
    <col min="5" max="5" width="12.77734375" customWidth="1"/>
    <col min="6" max="6" width="15.5546875" customWidth="1"/>
    <col min="7" max="7" width="10.77734375" customWidth="1"/>
  </cols>
  <sheetData>
    <row r="1" spans="1:14" x14ac:dyDescent="0.25">
      <c r="A1" s="307" t="s">
        <v>163</v>
      </c>
      <c r="B1" s="308"/>
      <c r="C1" s="308"/>
      <c r="D1" s="309"/>
      <c r="E1" s="310"/>
      <c r="F1" s="312"/>
      <c r="G1" s="311"/>
      <c r="H1" s="312"/>
      <c r="I1" s="312"/>
      <c r="J1" s="312"/>
      <c r="K1" s="312"/>
      <c r="L1" s="312"/>
      <c r="M1" s="312"/>
      <c r="N1" s="312"/>
    </row>
    <row r="2" spans="1:14" x14ac:dyDescent="0.25">
      <c r="A2" s="307" t="s">
        <v>164</v>
      </c>
      <c r="B2" s="308"/>
      <c r="C2" s="308"/>
      <c r="D2" s="311"/>
      <c r="E2" s="313"/>
      <c r="F2" s="312"/>
      <c r="G2" s="311"/>
      <c r="H2" s="312"/>
      <c r="I2" s="312"/>
      <c r="J2" s="312"/>
      <c r="K2" s="312"/>
      <c r="L2" s="312"/>
      <c r="M2" s="312"/>
      <c r="N2" s="312"/>
    </row>
    <row r="3" spans="1:14" x14ac:dyDescent="0.25">
      <c r="A3" s="307"/>
      <c r="B3" s="308"/>
      <c r="C3" s="308"/>
      <c r="D3" s="311"/>
      <c r="E3" s="313"/>
      <c r="F3" s="312"/>
      <c r="G3" s="311"/>
      <c r="H3" s="312"/>
      <c r="I3" s="312"/>
      <c r="J3" s="312"/>
      <c r="K3" s="312"/>
      <c r="L3" s="312"/>
      <c r="M3" s="312"/>
      <c r="N3" s="312"/>
    </row>
    <row r="4" spans="1:14" x14ac:dyDescent="0.25">
      <c r="A4" s="311"/>
      <c r="B4" s="308"/>
      <c r="C4" s="308"/>
      <c r="D4" s="311"/>
      <c r="E4" s="313"/>
      <c r="F4" s="315"/>
      <c r="G4" s="311"/>
      <c r="H4" s="312"/>
      <c r="I4" s="312"/>
      <c r="J4" s="312"/>
      <c r="K4" s="312"/>
      <c r="L4" s="312"/>
      <c r="M4" s="312"/>
      <c r="N4" s="312"/>
    </row>
    <row r="5" spans="1:14" x14ac:dyDescent="0.25">
      <c r="A5" s="307" t="s">
        <v>165</v>
      </c>
      <c r="B5" s="308"/>
      <c r="C5" s="308"/>
      <c r="D5" s="311"/>
      <c r="E5" s="313"/>
      <c r="F5" s="312"/>
      <c r="G5" s="311"/>
      <c r="H5" s="312"/>
      <c r="I5" s="312"/>
      <c r="J5" s="312"/>
      <c r="K5" s="312"/>
      <c r="L5" s="312"/>
      <c r="M5" s="312"/>
      <c r="N5" s="312"/>
    </row>
    <row r="6" spans="1:14" x14ac:dyDescent="0.25">
      <c r="A6" s="312" t="s">
        <v>166</v>
      </c>
      <c r="B6" s="308"/>
      <c r="C6" s="308"/>
      <c r="D6" s="311"/>
      <c r="E6" s="316"/>
      <c r="F6" s="312"/>
      <c r="G6" s="311"/>
      <c r="H6" s="312"/>
      <c r="I6" s="312"/>
      <c r="J6" s="312"/>
      <c r="K6" s="312"/>
      <c r="L6" s="312"/>
      <c r="M6" s="312"/>
      <c r="N6" s="312"/>
    </row>
    <row r="7" spans="1:14" x14ac:dyDescent="0.25">
      <c r="A7" s="307" t="s">
        <v>167</v>
      </c>
      <c r="B7" s="308"/>
      <c r="C7" s="308"/>
      <c r="D7" s="309"/>
      <c r="E7" s="311" t="s">
        <v>102</v>
      </c>
      <c r="F7" s="312"/>
      <c r="G7" s="311"/>
      <c r="H7" s="312"/>
      <c r="I7" s="312"/>
      <c r="J7" s="312"/>
      <c r="K7" s="312"/>
      <c r="L7" s="312"/>
      <c r="M7" s="312"/>
      <c r="N7" s="312"/>
    </row>
    <row r="8" spans="1:14" ht="20.399999999999999" x14ac:dyDescent="0.25">
      <c r="A8" s="317" t="s">
        <v>101</v>
      </c>
      <c r="B8" s="318"/>
      <c r="C8" s="308"/>
      <c r="D8" s="308"/>
      <c r="E8" s="311" t="s">
        <v>103</v>
      </c>
      <c r="F8" s="312"/>
      <c r="G8" s="311"/>
      <c r="H8" s="312"/>
      <c r="I8" s="312"/>
      <c r="J8" s="312"/>
      <c r="K8" s="312"/>
      <c r="L8" s="312"/>
      <c r="M8" s="312"/>
      <c r="N8" s="312"/>
    </row>
    <row r="9" spans="1:14" x14ac:dyDescent="0.25">
      <c r="A9" s="319"/>
      <c r="B9" s="320" t="s">
        <v>35</v>
      </c>
      <c r="C9" s="321" t="s">
        <v>36</v>
      </c>
      <c r="D9" s="321" t="s">
        <v>104</v>
      </c>
      <c r="E9" s="322" t="s">
        <v>104</v>
      </c>
      <c r="F9" s="323"/>
      <c r="G9" s="311"/>
      <c r="H9" s="312"/>
      <c r="I9" s="323"/>
      <c r="J9" s="323"/>
      <c r="K9" s="323"/>
      <c r="L9" s="323"/>
      <c r="M9" s="323"/>
      <c r="N9" s="323"/>
    </row>
    <row r="10" spans="1:14" x14ac:dyDescent="0.25">
      <c r="A10" s="323"/>
      <c r="B10" s="325" t="s">
        <v>37</v>
      </c>
      <c r="C10" s="326">
        <v>144</v>
      </c>
      <c r="D10" s="327" t="s">
        <v>26</v>
      </c>
      <c r="E10" s="327" t="s">
        <v>26</v>
      </c>
      <c r="F10" s="328"/>
      <c r="G10" s="328"/>
      <c r="H10" s="328"/>
      <c r="I10" s="328"/>
      <c r="J10" s="328"/>
      <c r="K10" s="328"/>
      <c r="L10" s="328"/>
      <c r="M10" s="328"/>
      <c r="N10" s="328"/>
    </row>
    <row r="11" spans="1:14" x14ac:dyDescent="0.25">
      <c r="A11" s="323"/>
      <c r="B11" s="325"/>
      <c r="C11" s="326">
        <v>153</v>
      </c>
      <c r="D11" s="327" t="s">
        <v>26</v>
      </c>
      <c r="E11" s="324"/>
      <c r="F11" s="328"/>
      <c r="G11" s="328"/>
      <c r="H11" s="328"/>
      <c r="I11" s="328"/>
      <c r="J11" s="328"/>
      <c r="K11" s="328"/>
      <c r="L11" s="328"/>
      <c r="M11" s="328"/>
      <c r="N11" s="328"/>
    </row>
    <row r="12" spans="1:14" x14ac:dyDescent="0.25">
      <c r="A12" s="323"/>
      <c r="B12" s="325" t="s">
        <v>38</v>
      </c>
      <c r="C12" s="326">
        <v>16173</v>
      </c>
      <c r="D12" s="326">
        <v>43088.800000000003</v>
      </c>
      <c r="E12" s="311">
        <v>50967.53</v>
      </c>
      <c r="F12" s="328"/>
      <c r="G12" s="328"/>
      <c r="H12" s="328"/>
      <c r="I12" s="328"/>
      <c r="J12" s="328"/>
      <c r="K12" s="328"/>
      <c r="L12" s="328"/>
      <c r="M12" s="328"/>
      <c r="N12" s="328"/>
    </row>
    <row r="13" spans="1:14" x14ac:dyDescent="0.25">
      <c r="A13" s="323"/>
      <c r="B13" s="325"/>
      <c r="C13" s="326">
        <v>17173</v>
      </c>
      <c r="D13" s="326">
        <v>58846.26</v>
      </c>
      <c r="E13" s="324"/>
      <c r="F13" s="328"/>
      <c r="G13" s="328"/>
      <c r="H13" s="328"/>
      <c r="I13" s="328"/>
      <c r="J13" s="328"/>
      <c r="K13" s="328"/>
      <c r="L13" s="328"/>
      <c r="M13" s="328"/>
      <c r="N13" s="328"/>
    </row>
    <row r="14" spans="1:14" x14ac:dyDescent="0.25">
      <c r="A14" s="323"/>
      <c r="B14" s="325" t="s">
        <v>39</v>
      </c>
      <c r="C14" s="326">
        <v>10893</v>
      </c>
      <c r="D14" s="326">
        <v>12931.57</v>
      </c>
      <c r="E14" s="311">
        <v>12497.285</v>
      </c>
      <c r="F14" s="328"/>
      <c r="G14" s="328"/>
      <c r="H14" s="328"/>
      <c r="I14" s="328"/>
      <c r="J14" s="328"/>
      <c r="K14" s="328"/>
      <c r="L14" s="328"/>
      <c r="M14" s="328"/>
      <c r="N14" s="328"/>
    </row>
    <row r="15" spans="1:14" x14ac:dyDescent="0.25">
      <c r="A15" s="323"/>
      <c r="B15" s="323"/>
      <c r="C15" s="326">
        <v>10549</v>
      </c>
      <c r="D15" s="326">
        <v>12063</v>
      </c>
      <c r="E15" s="311"/>
      <c r="F15" s="328"/>
      <c r="G15" s="328"/>
      <c r="H15" s="328"/>
      <c r="I15" s="328"/>
      <c r="J15" s="328"/>
      <c r="K15" s="328"/>
      <c r="L15" s="328"/>
      <c r="M15" s="328"/>
      <c r="N15" s="328"/>
    </row>
    <row r="16" spans="1:14" x14ac:dyDescent="0.25">
      <c r="A16" s="323"/>
      <c r="B16" s="325" t="s">
        <v>40</v>
      </c>
      <c r="C16" s="326">
        <v>4744</v>
      </c>
      <c r="D16" s="326">
        <v>3207.18</v>
      </c>
      <c r="E16" s="311">
        <v>3142.27</v>
      </c>
      <c r="F16" s="328"/>
      <c r="G16" s="328"/>
      <c r="H16" s="328"/>
      <c r="I16" s="328"/>
      <c r="J16" s="328"/>
      <c r="K16" s="328"/>
      <c r="L16" s="328"/>
      <c r="M16" s="328"/>
      <c r="N16" s="328"/>
    </row>
    <row r="17" spans="1:14" x14ac:dyDescent="0.25">
      <c r="A17" s="323"/>
      <c r="B17" s="323"/>
      <c r="C17" s="326">
        <v>4605</v>
      </c>
      <c r="D17" s="326">
        <v>3077.36</v>
      </c>
      <c r="E17" s="311"/>
      <c r="F17" s="328"/>
      <c r="G17" s="328"/>
      <c r="H17" s="328"/>
      <c r="I17" s="328"/>
      <c r="J17" s="328"/>
      <c r="K17" s="328"/>
      <c r="L17" s="328"/>
      <c r="M17" s="328"/>
      <c r="N17" s="328"/>
    </row>
    <row r="18" spans="1:14" x14ac:dyDescent="0.25">
      <c r="A18" s="323"/>
      <c r="B18" s="325" t="s">
        <v>41</v>
      </c>
      <c r="C18" s="326">
        <v>1545.5</v>
      </c>
      <c r="D18" s="326">
        <v>752.51</v>
      </c>
      <c r="E18" s="311">
        <v>745.29500000000007</v>
      </c>
      <c r="F18" s="323"/>
      <c r="G18" s="323"/>
      <c r="H18" s="323"/>
      <c r="I18" s="323"/>
      <c r="J18" s="323"/>
      <c r="K18" s="323"/>
      <c r="L18" s="323"/>
      <c r="M18" s="323"/>
      <c r="N18" s="323"/>
    </row>
    <row r="19" spans="1:14" x14ac:dyDescent="0.25">
      <c r="A19" s="323"/>
      <c r="B19" s="325"/>
      <c r="C19" s="326">
        <v>1522</v>
      </c>
      <c r="D19" s="326">
        <v>738.08</v>
      </c>
      <c r="E19" s="311"/>
      <c r="F19" s="323"/>
      <c r="G19" s="314" t="s">
        <v>28</v>
      </c>
      <c r="H19" s="323"/>
      <c r="I19" s="323"/>
      <c r="J19" s="323"/>
      <c r="K19" s="323"/>
      <c r="L19" s="323"/>
      <c r="M19" s="323"/>
      <c r="N19" s="323"/>
    </row>
    <row r="20" spans="1:14" x14ac:dyDescent="0.25">
      <c r="A20" s="323"/>
      <c r="B20" s="325" t="s">
        <v>42</v>
      </c>
      <c r="C20" s="326">
        <v>700</v>
      </c>
      <c r="D20" s="326">
        <v>263.82</v>
      </c>
      <c r="E20" s="311">
        <v>242.57999999999998</v>
      </c>
      <c r="F20" s="323"/>
      <c r="G20" s="330"/>
      <c r="H20" s="323"/>
      <c r="I20" s="323"/>
      <c r="J20" s="323"/>
      <c r="K20" s="323"/>
      <c r="L20" s="323"/>
      <c r="M20" s="323"/>
      <c r="N20" s="323"/>
    </row>
    <row r="21" spans="1:14" x14ac:dyDescent="0.25">
      <c r="A21" s="323"/>
      <c r="B21" s="325"/>
      <c r="C21" s="326">
        <v>620.5</v>
      </c>
      <c r="D21" s="326">
        <v>221.34</v>
      </c>
      <c r="E21" s="311"/>
      <c r="F21" s="323"/>
      <c r="G21" s="330"/>
      <c r="H21" s="323"/>
      <c r="I21" s="323"/>
      <c r="J21" s="323"/>
      <c r="K21" s="323"/>
      <c r="L21" s="323"/>
      <c r="M21" s="323"/>
      <c r="N21" s="323"/>
    </row>
    <row r="22" spans="1:14" x14ac:dyDescent="0.25">
      <c r="A22" s="323"/>
      <c r="B22" s="325" t="s">
        <v>43</v>
      </c>
      <c r="C22" s="326">
        <v>260.5</v>
      </c>
      <c r="D22" s="326">
        <v>39.119999999999997</v>
      </c>
      <c r="E22" s="311">
        <v>40.305</v>
      </c>
      <c r="F22" s="323"/>
      <c r="G22" s="330"/>
      <c r="H22" s="323"/>
      <c r="I22" s="323"/>
      <c r="J22" s="323"/>
      <c r="K22" s="323"/>
      <c r="L22" s="323"/>
      <c r="M22" s="323"/>
      <c r="N22" s="323"/>
    </row>
    <row r="23" spans="1:14" x14ac:dyDescent="0.25">
      <c r="A23" s="323"/>
      <c r="B23" s="325" t="s">
        <v>28</v>
      </c>
      <c r="C23" s="326">
        <v>265.5</v>
      </c>
      <c r="D23" s="326">
        <v>41.49</v>
      </c>
      <c r="E23" s="324"/>
      <c r="F23" s="323"/>
      <c r="G23" s="330"/>
      <c r="H23" s="323"/>
      <c r="I23" s="323"/>
      <c r="J23" s="323"/>
      <c r="K23" s="323"/>
      <c r="L23" s="323"/>
      <c r="M23" s="323"/>
      <c r="N23" s="323"/>
    </row>
    <row r="24" spans="1:14" x14ac:dyDescent="0.25">
      <c r="A24" s="323"/>
      <c r="B24" s="325" t="s">
        <v>44</v>
      </c>
      <c r="C24" s="326">
        <v>190</v>
      </c>
      <c r="D24" s="326">
        <v>6.83</v>
      </c>
      <c r="E24" s="311">
        <v>10.405000000000001</v>
      </c>
      <c r="F24" s="323"/>
      <c r="G24" s="649"/>
      <c r="H24" s="323"/>
      <c r="I24" s="323"/>
      <c r="J24" s="323"/>
      <c r="K24" s="323"/>
      <c r="L24" s="323"/>
      <c r="M24" s="323"/>
      <c r="N24" s="323"/>
    </row>
    <row r="25" spans="1:14" x14ac:dyDescent="0.25">
      <c r="A25" s="323"/>
      <c r="B25" s="331"/>
      <c r="C25" s="326">
        <v>202</v>
      </c>
      <c r="D25" s="326">
        <v>13.98</v>
      </c>
      <c r="E25" s="311"/>
      <c r="F25" s="323"/>
      <c r="G25" s="330"/>
      <c r="H25" s="323"/>
      <c r="I25" s="323"/>
      <c r="J25" s="323"/>
      <c r="K25" s="323"/>
      <c r="L25" s="323"/>
      <c r="M25" s="323"/>
      <c r="N25" s="323"/>
    </row>
    <row r="26" spans="1:14" x14ac:dyDescent="0.25">
      <c r="A26" s="323"/>
      <c r="B26" s="331"/>
      <c r="C26" s="314"/>
      <c r="D26" s="326"/>
      <c r="E26" s="311"/>
      <c r="F26" s="323"/>
      <c r="G26" s="330"/>
      <c r="H26" s="323"/>
      <c r="I26" s="323"/>
      <c r="J26" s="323"/>
      <c r="K26" s="323"/>
      <c r="L26" s="323"/>
      <c r="M26" s="323"/>
      <c r="N26" s="323"/>
    </row>
    <row r="27" spans="1:14" x14ac:dyDescent="0.25">
      <c r="A27" s="323"/>
      <c r="B27" s="331"/>
      <c r="C27" s="326"/>
      <c r="D27" s="326"/>
      <c r="E27" s="311"/>
      <c r="F27" s="323"/>
      <c r="G27" s="330"/>
      <c r="H27" s="323"/>
      <c r="I27" s="323"/>
      <c r="J27" s="323"/>
      <c r="K27" s="323"/>
      <c r="L27" s="323"/>
      <c r="M27" s="323"/>
      <c r="N27" s="323"/>
    </row>
    <row r="28" spans="1:14" x14ac:dyDescent="0.25">
      <c r="A28" s="323"/>
      <c r="B28" s="331"/>
      <c r="C28" s="327"/>
      <c r="D28" s="327" t="s">
        <v>229</v>
      </c>
      <c r="E28" s="311" t="s">
        <v>227</v>
      </c>
      <c r="F28" s="323"/>
      <c r="G28" s="333"/>
      <c r="H28" s="323"/>
      <c r="I28" s="323"/>
      <c r="J28" s="323"/>
      <c r="K28" s="323"/>
      <c r="L28" s="323"/>
      <c r="M28" s="323"/>
      <c r="N28" s="323"/>
    </row>
    <row r="29" spans="1:14" ht="13.8" thickBot="1" x14ac:dyDescent="0.3">
      <c r="A29" s="323"/>
      <c r="B29" s="331"/>
      <c r="C29" s="326"/>
      <c r="D29" s="327"/>
      <c r="E29" s="1" t="s">
        <v>228</v>
      </c>
      <c r="F29" s="323"/>
      <c r="G29" s="330"/>
      <c r="H29" s="323"/>
      <c r="I29" s="323"/>
      <c r="J29" s="323"/>
      <c r="K29" s="323"/>
      <c r="L29" s="323"/>
      <c r="M29" s="323"/>
      <c r="N29" s="323"/>
    </row>
    <row r="30" spans="1:14" ht="13.8" x14ac:dyDescent="0.25">
      <c r="A30" s="623" t="s">
        <v>159</v>
      </c>
      <c r="B30" s="625">
        <v>8303</v>
      </c>
      <c r="C30" s="605">
        <v>91</v>
      </c>
      <c r="D30" s="606" t="s">
        <v>26</v>
      </c>
      <c r="E30" s="536">
        <v>0</v>
      </c>
      <c r="F30" s="592" t="s">
        <v>238</v>
      </c>
      <c r="G30" s="330"/>
      <c r="H30" s="329"/>
      <c r="I30" s="329"/>
      <c r="J30" s="323"/>
      <c r="K30" s="323"/>
      <c r="L30" s="323"/>
      <c r="M30" s="323"/>
      <c r="N30" s="323"/>
    </row>
    <row r="31" spans="1:14" x14ac:dyDescent="0.25">
      <c r="A31" s="617"/>
      <c r="B31" s="607"/>
      <c r="C31" s="608">
        <v>84</v>
      </c>
      <c r="D31" s="609" t="s">
        <v>26</v>
      </c>
      <c r="E31" s="293"/>
      <c r="F31" s="323"/>
      <c r="G31" s="330"/>
      <c r="H31" s="329"/>
      <c r="I31" s="329"/>
      <c r="J31" s="323"/>
      <c r="K31" s="323"/>
      <c r="L31" s="323"/>
      <c r="M31" s="323"/>
      <c r="N31" s="323"/>
    </row>
    <row r="32" spans="1:14" ht="13.8" x14ac:dyDescent="0.25">
      <c r="A32" s="624" t="s">
        <v>159</v>
      </c>
      <c r="B32" s="626">
        <v>8328</v>
      </c>
      <c r="C32" s="608">
        <v>99</v>
      </c>
      <c r="D32" s="609" t="s">
        <v>26</v>
      </c>
      <c r="E32" s="535">
        <v>0</v>
      </c>
      <c r="F32" s="323"/>
      <c r="G32" s="330"/>
      <c r="H32" s="323"/>
      <c r="I32" s="329"/>
      <c r="J32" s="323"/>
      <c r="K32" s="323"/>
      <c r="L32" s="323"/>
      <c r="M32" s="323"/>
      <c r="N32" s="323"/>
    </row>
    <row r="33" spans="1:10" x14ac:dyDescent="0.25">
      <c r="A33" s="617"/>
      <c r="B33" s="610"/>
      <c r="C33" s="608">
        <v>100.5</v>
      </c>
      <c r="D33" s="609" t="s">
        <v>26</v>
      </c>
      <c r="E33" s="293"/>
      <c r="F33" s="323"/>
      <c r="G33" s="334"/>
      <c r="H33" s="329"/>
      <c r="I33" s="329"/>
      <c r="J33" s="323"/>
    </row>
    <row r="34" spans="1:10" ht="13.8" x14ac:dyDescent="0.25">
      <c r="A34" s="624" t="s">
        <v>159</v>
      </c>
      <c r="B34" s="627">
        <v>8293</v>
      </c>
      <c r="C34" s="608">
        <v>75.5</v>
      </c>
      <c r="D34" s="609" t="s">
        <v>26</v>
      </c>
      <c r="E34" s="535">
        <v>0</v>
      </c>
      <c r="F34" s="328"/>
      <c r="G34" s="330"/>
      <c r="H34" s="329"/>
      <c r="I34" s="329"/>
      <c r="J34" s="323"/>
    </row>
    <row r="35" spans="1:10" x14ac:dyDescent="0.25">
      <c r="A35" s="617"/>
      <c r="B35" s="611"/>
      <c r="C35" s="608">
        <v>85</v>
      </c>
      <c r="D35" s="609" t="s">
        <v>26</v>
      </c>
      <c r="E35" s="293"/>
      <c r="F35" s="323"/>
      <c r="G35" s="330"/>
      <c r="H35" s="329"/>
      <c r="I35" s="329"/>
      <c r="J35" s="323"/>
    </row>
    <row r="36" spans="1:10" ht="13.8" x14ac:dyDescent="0.25">
      <c r="A36" s="624" t="s">
        <v>159</v>
      </c>
      <c r="B36" s="626">
        <v>8359</v>
      </c>
      <c r="C36" s="608">
        <v>85.5</v>
      </c>
      <c r="D36" s="609" t="s">
        <v>26</v>
      </c>
      <c r="E36" s="535">
        <v>0</v>
      </c>
      <c r="F36" s="323"/>
      <c r="G36" s="330"/>
      <c r="H36" s="329"/>
      <c r="I36" s="329"/>
      <c r="J36" s="323"/>
    </row>
    <row r="37" spans="1:10" x14ac:dyDescent="0.25">
      <c r="A37" s="617"/>
      <c r="B37" s="612"/>
      <c r="C37" s="608">
        <v>96.5</v>
      </c>
      <c r="D37" s="609" t="s">
        <v>26</v>
      </c>
      <c r="E37" s="293"/>
      <c r="F37" s="323"/>
      <c r="G37" s="330"/>
      <c r="H37" s="329"/>
      <c r="I37" s="332"/>
      <c r="J37" s="323"/>
    </row>
    <row r="38" spans="1:10" ht="13.8" x14ac:dyDescent="0.25">
      <c r="A38" s="624" t="s">
        <v>159</v>
      </c>
      <c r="B38" s="626">
        <v>8294</v>
      </c>
      <c r="C38" s="608">
        <v>80</v>
      </c>
      <c r="D38" s="609" t="s">
        <v>26</v>
      </c>
      <c r="E38" s="535">
        <v>0</v>
      </c>
      <c r="F38" s="335"/>
      <c r="G38" s="330"/>
      <c r="H38" s="329"/>
      <c r="I38" s="323"/>
      <c r="J38" s="323"/>
    </row>
    <row r="39" spans="1:10" x14ac:dyDescent="0.25">
      <c r="A39" s="617"/>
      <c r="B39" s="612"/>
      <c r="C39" s="608">
        <v>90</v>
      </c>
      <c r="D39" s="609" t="s">
        <v>26</v>
      </c>
      <c r="E39" s="293"/>
      <c r="F39" s="327"/>
      <c r="G39" s="330"/>
      <c r="H39" s="329"/>
      <c r="I39" s="323"/>
      <c r="J39" s="323" t="s">
        <v>28</v>
      </c>
    </row>
    <row r="40" spans="1:10" ht="13.8" x14ac:dyDescent="0.25">
      <c r="A40" s="624" t="s">
        <v>159</v>
      </c>
      <c r="B40" s="626">
        <v>8362</v>
      </c>
      <c r="C40" s="608">
        <v>79.5</v>
      </c>
      <c r="D40" s="609" t="s">
        <v>26</v>
      </c>
      <c r="E40" s="535">
        <v>0</v>
      </c>
      <c r="F40" s="323"/>
      <c r="G40" s="330"/>
      <c r="H40" s="332"/>
      <c r="I40" s="323"/>
      <c r="J40" s="323"/>
    </row>
    <row r="41" spans="1:10" x14ac:dyDescent="0.25">
      <c r="A41" s="617"/>
      <c r="B41" s="612"/>
      <c r="C41" s="608">
        <v>76</v>
      </c>
      <c r="D41" s="609" t="s">
        <v>26</v>
      </c>
      <c r="E41" s="293"/>
      <c r="F41" s="323"/>
      <c r="G41" s="330"/>
      <c r="H41" s="323"/>
      <c r="I41" s="323"/>
      <c r="J41" s="323"/>
    </row>
    <row r="42" spans="1:10" ht="13.8" x14ac:dyDescent="0.25">
      <c r="A42" s="624" t="s">
        <v>159</v>
      </c>
      <c r="B42" s="627">
        <v>8383</v>
      </c>
      <c r="C42" s="608">
        <v>73</v>
      </c>
      <c r="D42" s="609" t="s">
        <v>26</v>
      </c>
      <c r="E42" s="535">
        <v>0</v>
      </c>
      <c r="F42" s="323"/>
      <c r="G42" s="330"/>
      <c r="H42" s="323"/>
      <c r="I42" s="323"/>
      <c r="J42" s="323"/>
    </row>
    <row r="43" spans="1:10" ht="13.8" thickBot="1" x14ac:dyDescent="0.3">
      <c r="A43" s="618"/>
      <c r="B43" s="613"/>
      <c r="C43" s="608">
        <v>88</v>
      </c>
      <c r="D43" s="609" t="s">
        <v>26</v>
      </c>
      <c r="E43" s="293"/>
      <c r="F43" s="323"/>
      <c r="G43" s="330"/>
      <c r="H43" s="323"/>
      <c r="I43" s="323"/>
      <c r="J43" s="323"/>
    </row>
    <row r="44" spans="1:10" ht="13.8" x14ac:dyDescent="0.25">
      <c r="A44" s="624" t="s">
        <v>159</v>
      </c>
      <c r="B44" s="628">
        <v>8313</v>
      </c>
      <c r="C44" s="608">
        <v>108.5</v>
      </c>
      <c r="D44" s="609" t="s">
        <v>26</v>
      </c>
      <c r="E44" s="535">
        <v>0</v>
      </c>
      <c r="F44" s="629" t="s">
        <v>113</v>
      </c>
      <c r="G44" s="630" t="s">
        <v>114</v>
      </c>
      <c r="H44" s="323"/>
      <c r="I44" s="323"/>
      <c r="J44" s="323"/>
    </row>
    <row r="45" spans="1:10" ht="13.8" thickBot="1" x14ac:dyDescent="0.3">
      <c r="A45" s="619"/>
      <c r="B45" s="614"/>
      <c r="C45" s="615">
        <v>100.5</v>
      </c>
      <c r="D45" s="616" t="s">
        <v>26</v>
      </c>
      <c r="E45" s="37"/>
      <c r="F45" s="631">
        <f>AVERAGE(E30:E44)</f>
        <v>0</v>
      </c>
      <c r="G45" s="632">
        <f>STDEV(E30:E44)/SQRT(COUNT(E30:E44))</f>
        <v>0</v>
      </c>
      <c r="H45" s="323"/>
      <c r="I45" s="323"/>
      <c r="J45" s="323"/>
    </row>
    <row r="46" spans="1:10" ht="13.8" x14ac:dyDescent="0.25">
      <c r="A46" s="337" t="s">
        <v>160</v>
      </c>
      <c r="B46" s="338">
        <v>8535</v>
      </c>
      <c r="C46" s="605">
        <v>836.5</v>
      </c>
      <c r="D46" s="605">
        <v>338.28</v>
      </c>
      <c r="E46" s="593">
        <v>0.33936479763350302</v>
      </c>
      <c r="F46" s="328"/>
      <c r="G46" s="330"/>
      <c r="H46" s="323"/>
      <c r="I46" s="323"/>
      <c r="J46" s="323"/>
    </row>
    <row r="47" spans="1:10" x14ac:dyDescent="0.25">
      <c r="A47" s="618"/>
      <c r="B47" s="633"/>
      <c r="C47" s="608">
        <v>800</v>
      </c>
      <c r="D47" s="608">
        <v>318.19</v>
      </c>
      <c r="E47" s="594"/>
      <c r="F47" s="323"/>
      <c r="G47" s="330"/>
      <c r="H47" s="323"/>
      <c r="I47" s="323"/>
      <c r="J47" s="323"/>
    </row>
    <row r="48" spans="1:10" ht="13.8" x14ac:dyDescent="0.25">
      <c r="A48" s="339" t="s">
        <v>160</v>
      </c>
      <c r="B48" s="336">
        <v>8537</v>
      </c>
      <c r="C48" s="608">
        <v>1098</v>
      </c>
      <c r="D48" s="608">
        <v>485.86</v>
      </c>
      <c r="E48" s="594">
        <v>0.48762839565214999</v>
      </c>
      <c r="F48" s="323"/>
      <c r="G48" s="330"/>
      <c r="H48" s="323"/>
      <c r="I48" s="323"/>
      <c r="J48" s="323"/>
    </row>
    <row r="49" spans="1:7" x14ac:dyDescent="0.25">
      <c r="A49" s="618"/>
      <c r="B49" s="633"/>
      <c r="C49" s="608">
        <v>1058</v>
      </c>
      <c r="D49" s="608">
        <v>462.88</v>
      </c>
      <c r="E49" s="594"/>
      <c r="F49" s="323"/>
      <c r="G49" s="330"/>
    </row>
    <row r="50" spans="1:7" ht="13.8" x14ac:dyDescent="0.25">
      <c r="A50" s="339" t="s">
        <v>160</v>
      </c>
      <c r="B50" s="336">
        <v>8534</v>
      </c>
      <c r="C50" s="608">
        <v>371</v>
      </c>
      <c r="D50" s="608">
        <v>92.87</v>
      </c>
      <c r="E50" s="594">
        <v>0.14192678756990701</v>
      </c>
      <c r="F50" s="328"/>
      <c r="G50" s="330"/>
    </row>
    <row r="51" spans="1:7" x14ac:dyDescent="0.25">
      <c r="A51" s="618"/>
      <c r="B51" s="613"/>
      <c r="C51" s="608">
        <v>545</v>
      </c>
      <c r="D51" s="608">
        <v>181.63</v>
      </c>
      <c r="E51" s="594"/>
      <c r="F51" s="327"/>
      <c r="G51" s="330"/>
    </row>
    <row r="52" spans="1:7" ht="13.8" x14ac:dyDescent="0.25">
      <c r="A52" s="339" t="s">
        <v>160</v>
      </c>
      <c r="B52" s="336">
        <v>8531</v>
      </c>
      <c r="C52" s="608">
        <v>1301.5</v>
      </c>
      <c r="D52" s="608">
        <v>604.95000000000005</v>
      </c>
      <c r="E52" s="594">
        <v>0.675020451569039</v>
      </c>
      <c r="F52" s="323"/>
      <c r="G52" s="330"/>
    </row>
    <row r="53" spans="1:7" ht="13.8" thickBot="1" x14ac:dyDescent="0.3">
      <c r="A53" s="617"/>
      <c r="B53" s="613"/>
      <c r="C53" s="608">
        <v>1488</v>
      </c>
      <c r="D53" s="608">
        <v>717.27</v>
      </c>
      <c r="E53" s="594"/>
      <c r="F53" s="323"/>
      <c r="G53" s="334"/>
    </row>
    <row r="54" spans="1:7" ht="13.8" x14ac:dyDescent="0.25">
      <c r="A54" s="339" t="s">
        <v>160</v>
      </c>
      <c r="B54" s="336">
        <v>8615</v>
      </c>
      <c r="C54" s="608">
        <v>1098</v>
      </c>
      <c r="D54" s="608">
        <v>485.86</v>
      </c>
      <c r="E54" s="594">
        <v>0.46217186948932099</v>
      </c>
      <c r="F54" s="635" t="s">
        <v>113</v>
      </c>
      <c r="G54" s="636" t="s">
        <v>114</v>
      </c>
    </row>
    <row r="55" spans="1:7" ht="13.8" thickBot="1" x14ac:dyDescent="0.3">
      <c r="A55" s="637"/>
      <c r="B55" s="614"/>
      <c r="C55" s="615">
        <v>970</v>
      </c>
      <c r="D55" s="615">
        <v>412.84</v>
      </c>
      <c r="E55" s="638"/>
      <c r="F55" s="644">
        <f>AVERAGE(E46:E54)</f>
        <v>0.42122246038278399</v>
      </c>
      <c r="G55" s="645">
        <f>STDEV(E46:E54)/SQRT(COUNT(E46:E54))</f>
        <v>8.8092784176152822E-2</v>
      </c>
    </row>
    <row r="56" spans="1:7" ht="13.8" x14ac:dyDescent="0.25">
      <c r="A56" s="341" t="s">
        <v>158</v>
      </c>
      <c r="B56" s="342">
        <v>8702</v>
      </c>
      <c r="C56" s="605">
        <v>585</v>
      </c>
      <c r="D56" s="605">
        <v>202.59</v>
      </c>
      <c r="E56" s="593">
        <v>0.16550647829978901</v>
      </c>
      <c r="G56" s="323"/>
    </row>
    <row r="57" spans="1:7" ht="13.8" x14ac:dyDescent="0.25">
      <c r="A57" s="343"/>
      <c r="B57" s="340"/>
      <c r="C57" s="608">
        <v>419</v>
      </c>
      <c r="D57" s="608">
        <v>116.93</v>
      </c>
      <c r="E57" s="594"/>
      <c r="F57" s="323"/>
      <c r="G57" s="334"/>
    </row>
    <row r="58" spans="1:7" ht="13.8" x14ac:dyDescent="0.25">
      <c r="A58" s="343" t="s">
        <v>158</v>
      </c>
      <c r="B58" s="340">
        <v>8485</v>
      </c>
      <c r="C58" s="608">
        <v>438</v>
      </c>
      <c r="D58" s="608">
        <v>126.55</v>
      </c>
      <c r="E58" s="594">
        <v>0.113474434284717</v>
      </c>
      <c r="F58" s="328"/>
      <c r="G58" s="330"/>
    </row>
    <row r="59" spans="1:7" ht="13.8" x14ac:dyDescent="0.25">
      <c r="A59" s="343"/>
      <c r="B59" s="340"/>
      <c r="C59" s="608">
        <v>371</v>
      </c>
      <c r="D59" s="608">
        <v>92.87</v>
      </c>
      <c r="E59" s="594"/>
      <c r="F59" s="323"/>
      <c r="G59" s="330"/>
    </row>
    <row r="60" spans="1:7" ht="13.8" x14ac:dyDescent="0.25">
      <c r="A60" s="343" t="s">
        <v>158</v>
      </c>
      <c r="B60" s="340">
        <v>8706</v>
      </c>
      <c r="C60" s="608">
        <v>1221.5</v>
      </c>
      <c r="D60" s="608">
        <v>557.70000000000005</v>
      </c>
      <c r="E60" s="594">
        <v>0.63791541200936797</v>
      </c>
      <c r="F60" s="323"/>
      <c r="G60" s="330"/>
    </row>
    <row r="61" spans="1:7" ht="13.8" x14ac:dyDescent="0.25">
      <c r="A61" s="343"/>
      <c r="B61" s="340"/>
      <c r="C61" s="608">
        <v>1444.5</v>
      </c>
      <c r="D61" s="608">
        <v>690.81</v>
      </c>
      <c r="E61" s="594"/>
      <c r="F61" s="323"/>
      <c r="G61" s="330"/>
    </row>
    <row r="62" spans="1:7" ht="13.8" x14ac:dyDescent="0.25">
      <c r="A62" s="343" t="s">
        <v>158</v>
      </c>
      <c r="B62" s="340">
        <v>8704</v>
      </c>
      <c r="C62" s="608">
        <v>1501.5</v>
      </c>
      <c r="D62" s="608">
        <v>725.52</v>
      </c>
      <c r="E62" s="594">
        <v>0.65620764384864805</v>
      </c>
      <c r="F62" s="328"/>
      <c r="G62" s="330"/>
    </row>
    <row r="63" spans="1:7" ht="13.8" x14ac:dyDescent="0.25">
      <c r="A63" s="343"/>
      <c r="B63" s="340"/>
      <c r="C63" s="608">
        <v>1225.5</v>
      </c>
      <c r="D63" s="608">
        <v>560.04999999999995</v>
      </c>
      <c r="E63" s="594"/>
      <c r="F63" s="327"/>
      <c r="G63" s="330"/>
    </row>
    <row r="64" spans="1:7" ht="13.8" x14ac:dyDescent="0.25">
      <c r="A64" s="343" t="s">
        <v>158</v>
      </c>
      <c r="B64" s="340">
        <v>8585</v>
      </c>
      <c r="C64" s="608">
        <v>1314</v>
      </c>
      <c r="D64" s="608">
        <v>612.39</v>
      </c>
      <c r="E64" s="594">
        <v>0.63043826445851203</v>
      </c>
      <c r="F64" s="323"/>
      <c r="G64" s="330"/>
    </row>
    <row r="65" spans="1:7" ht="13.8" x14ac:dyDescent="0.25">
      <c r="A65" s="343"/>
      <c r="B65" s="340"/>
      <c r="C65" s="608">
        <v>1327</v>
      </c>
      <c r="D65" s="608">
        <v>620.13</v>
      </c>
      <c r="E65" s="594"/>
      <c r="F65" s="323"/>
      <c r="G65" s="330"/>
    </row>
    <row r="66" spans="1:7" ht="13.8" x14ac:dyDescent="0.25">
      <c r="A66" s="343" t="s">
        <v>158</v>
      </c>
      <c r="B66" s="340">
        <v>8487</v>
      </c>
      <c r="C66" s="608">
        <v>438</v>
      </c>
      <c r="D66" s="608">
        <v>126.55</v>
      </c>
      <c r="E66" s="594">
        <v>0.143663031452269</v>
      </c>
      <c r="F66" s="323"/>
    </row>
    <row r="67" spans="1:7" ht="13.8" x14ac:dyDescent="0.25">
      <c r="A67" s="343"/>
      <c r="B67" s="340"/>
      <c r="C67" s="608">
        <v>484.5</v>
      </c>
      <c r="D67" s="608">
        <v>150.30000000000001</v>
      </c>
      <c r="E67" s="594"/>
      <c r="F67" s="323"/>
      <c r="G67" s="330"/>
    </row>
    <row r="68" spans="1:7" ht="13.8" x14ac:dyDescent="0.25">
      <c r="A68" s="343" t="s">
        <v>158</v>
      </c>
      <c r="B68" s="340">
        <v>8584</v>
      </c>
      <c r="C68" s="608">
        <v>905</v>
      </c>
      <c r="D68" s="608">
        <v>376.33</v>
      </c>
      <c r="E68" s="594">
        <v>0.39515822143389501</v>
      </c>
      <c r="F68" s="323"/>
      <c r="G68" s="330"/>
    </row>
    <row r="69" spans="1:7" ht="13.8" x14ac:dyDescent="0.25">
      <c r="A69" s="343"/>
      <c r="B69" s="340"/>
      <c r="C69" s="608">
        <v>929</v>
      </c>
      <c r="D69" s="608">
        <v>389.76</v>
      </c>
      <c r="E69" s="594"/>
      <c r="F69" s="323"/>
      <c r="G69" s="334"/>
    </row>
    <row r="70" spans="1:7" ht="13.8" x14ac:dyDescent="0.25">
      <c r="A70" s="343" t="s">
        <v>158</v>
      </c>
      <c r="B70" s="340">
        <v>8560</v>
      </c>
      <c r="C70" s="608">
        <v>2751</v>
      </c>
      <c r="D70" s="608">
        <v>1558.24</v>
      </c>
      <c r="E70" s="594">
        <v>1.4517860842724499</v>
      </c>
      <c r="F70" s="326"/>
      <c r="G70" s="330"/>
    </row>
    <row r="71" spans="1:7" ht="14.4" thickBot="1" x14ac:dyDescent="0.3">
      <c r="A71" s="343"/>
      <c r="B71" s="340"/>
      <c r="C71" s="608">
        <v>2431</v>
      </c>
      <c r="D71" s="608">
        <v>1331.6</v>
      </c>
      <c r="E71" s="594"/>
      <c r="F71" s="323"/>
      <c r="G71" s="330"/>
    </row>
    <row r="72" spans="1:7" ht="13.8" x14ac:dyDescent="0.25">
      <c r="A72" s="343" t="s">
        <v>158</v>
      </c>
      <c r="B72" s="340">
        <v>8408</v>
      </c>
      <c r="C72" s="608">
        <v>2099</v>
      </c>
      <c r="D72" s="608">
        <v>1106.3699999999999</v>
      </c>
      <c r="E72" s="594">
        <v>1.1382707584026099</v>
      </c>
      <c r="F72" s="647" t="s">
        <v>113</v>
      </c>
      <c r="G72" s="648" t="s">
        <v>114</v>
      </c>
    </row>
    <row r="73" spans="1:7" ht="13.8" thickBot="1" x14ac:dyDescent="0.3">
      <c r="A73" s="641"/>
      <c r="B73" s="642"/>
      <c r="C73" s="620">
        <v>2159</v>
      </c>
      <c r="D73" s="620">
        <v>1146.3499999999999</v>
      </c>
      <c r="E73" s="643"/>
      <c r="F73" s="650">
        <f>AVERAGE(E56:E72)</f>
        <v>0.59249114760691746</v>
      </c>
      <c r="G73" s="651">
        <f>STDEV(E56:E72)/SQRT(COUNT(E56:E72))</f>
        <v>0.15347756767751083</v>
      </c>
    </row>
    <row r="74" spans="1:7" ht="13.8" x14ac:dyDescent="0.25">
      <c r="A74" s="639" t="s">
        <v>168</v>
      </c>
      <c r="B74" s="640">
        <v>8272</v>
      </c>
      <c r="C74" s="634">
        <v>43</v>
      </c>
      <c r="D74" s="646" t="s">
        <v>26</v>
      </c>
      <c r="E74" s="536">
        <v>0</v>
      </c>
      <c r="F74" s="592" t="s">
        <v>238</v>
      </c>
      <c r="G74" s="330"/>
    </row>
    <row r="75" spans="1:7" x14ac:dyDescent="0.25">
      <c r="A75" s="347"/>
      <c r="B75" s="346"/>
      <c r="C75" s="608">
        <v>45.5</v>
      </c>
      <c r="D75" s="609" t="s">
        <v>26</v>
      </c>
      <c r="E75" s="293"/>
      <c r="F75" s="323"/>
      <c r="G75" s="330"/>
    </row>
    <row r="76" spans="1:7" ht="13.8" x14ac:dyDescent="0.25">
      <c r="A76" s="348" t="s">
        <v>168</v>
      </c>
      <c r="B76" s="346">
        <v>8245</v>
      </c>
      <c r="C76" s="608">
        <v>100</v>
      </c>
      <c r="D76" s="609" t="s">
        <v>26</v>
      </c>
      <c r="E76" s="535">
        <v>0</v>
      </c>
      <c r="F76" s="328"/>
      <c r="G76" s="330"/>
    </row>
    <row r="77" spans="1:7" x14ac:dyDescent="0.25">
      <c r="A77" s="349"/>
      <c r="B77" s="346"/>
      <c r="C77" s="608">
        <v>89.5</v>
      </c>
      <c r="D77" s="609" t="s">
        <v>26</v>
      </c>
      <c r="E77" s="293"/>
      <c r="F77" s="327"/>
      <c r="G77" s="330"/>
    </row>
    <row r="78" spans="1:7" ht="13.8" x14ac:dyDescent="0.25">
      <c r="A78" s="348" t="s">
        <v>168</v>
      </c>
      <c r="B78" s="346">
        <v>8236</v>
      </c>
      <c r="C78" s="608">
        <v>77.5</v>
      </c>
      <c r="D78" s="609" t="s">
        <v>26</v>
      </c>
      <c r="E78" s="535">
        <v>0</v>
      </c>
      <c r="F78" s="323"/>
      <c r="G78" s="330"/>
    </row>
    <row r="79" spans="1:7" x14ac:dyDescent="0.25">
      <c r="A79" s="350"/>
      <c r="B79" s="346"/>
      <c r="C79" s="608">
        <v>73</v>
      </c>
      <c r="D79" s="609" t="s">
        <v>26</v>
      </c>
      <c r="E79" s="293"/>
      <c r="F79" s="323"/>
      <c r="G79" s="323"/>
    </row>
    <row r="80" spans="1:7" ht="13.8" x14ac:dyDescent="0.25">
      <c r="A80" s="348" t="s">
        <v>168</v>
      </c>
      <c r="B80" s="346">
        <v>8244</v>
      </c>
      <c r="C80" s="608">
        <v>68.5</v>
      </c>
      <c r="D80" s="609" t="s">
        <v>26</v>
      </c>
      <c r="E80" s="535">
        <v>0</v>
      </c>
      <c r="F80" s="323"/>
      <c r="G80" s="330"/>
    </row>
    <row r="81" spans="1:12" x14ac:dyDescent="0.25">
      <c r="A81" s="349"/>
      <c r="B81" s="346"/>
      <c r="C81" s="608">
        <v>69</v>
      </c>
      <c r="D81" s="609" t="s">
        <v>26</v>
      </c>
      <c r="E81" s="293"/>
      <c r="F81" s="323"/>
      <c r="G81" s="330"/>
    </row>
    <row r="82" spans="1:12" ht="13.8" x14ac:dyDescent="0.25">
      <c r="A82" s="348" t="s">
        <v>168</v>
      </c>
      <c r="B82" s="346">
        <v>8519</v>
      </c>
      <c r="C82" s="608">
        <v>55</v>
      </c>
      <c r="D82" s="609" t="s">
        <v>26</v>
      </c>
      <c r="E82" s="535">
        <v>0</v>
      </c>
      <c r="F82" s="323"/>
      <c r="G82" s="330"/>
    </row>
    <row r="83" spans="1:12" x14ac:dyDescent="0.25">
      <c r="A83" s="347"/>
      <c r="B83" s="346"/>
      <c r="C83" s="608">
        <v>59</v>
      </c>
      <c r="D83" s="609" t="s">
        <v>26</v>
      </c>
      <c r="E83" s="293"/>
      <c r="F83" s="323"/>
      <c r="G83" s="334" t="s">
        <v>28</v>
      </c>
      <c r="H83" s="323"/>
      <c r="I83" s="323"/>
      <c r="J83" s="323"/>
      <c r="K83" s="323"/>
      <c r="L83" s="323"/>
    </row>
    <row r="84" spans="1:12" ht="13.8" x14ac:dyDescent="0.25">
      <c r="A84" s="348" t="s">
        <v>168</v>
      </c>
      <c r="B84" s="346">
        <v>8332</v>
      </c>
      <c r="C84" s="608">
        <v>79</v>
      </c>
      <c r="D84" s="609" t="s">
        <v>26</v>
      </c>
      <c r="E84" s="535">
        <v>0</v>
      </c>
      <c r="F84" s="328"/>
      <c r="G84" s="330"/>
      <c r="H84" s="323"/>
      <c r="I84" s="323"/>
      <c r="J84" s="323"/>
      <c r="K84" s="323"/>
      <c r="L84" s="323"/>
    </row>
    <row r="85" spans="1:12" x14ac:dyDescent="0.25">
      <c r="A85" s="349"/>
      <c r="B85" s="346"/>
      <c r="C85" s="608">
        <v>73</v>
      </c>
      <c r="D85" s="609" t="s">
        <v>26</v>
      </c>
      <c r="E85" s="293"/>
      <c r="F85" s="323"/>
      <c r="G85" s="330"/>
      <c r="H85" s="323"/>
      <c r="I85" s="323"/>
      <c r="J85" s="323"/>
      <c r="K85" s="323"/>
      <c r="L85" s="323"/>
    </row>
    <row r="86" spans="1:12" ht="13.8" x14ac:dyDescent="0.25">
      <c r="A86" s="348" t="s">
        <v>168</v>
      </c>
      <c r="B86" s="346">
        <v>8232</v>
      </c>
      <c r="C86" s="608">
        <v>84</v>
      </c>
      <c r="D86" s="609" t="s">
        <v>26</v>
      </c>
      <c r="E86" s="535">
        <v>0</v>
      </c>
      <c r="F86" s="323"/>
      <c r="G86" s="330"/>
      <c r="H86" s="323"/>
      <c r="I86" s="323"/>
      <c r="J86" s="323"/>
      <c r="K86" s="323"/>
      <c r="L86" s="323"/>
    </row>
    <row r="87" spans="1:12" x14ac:dyDescent="0.25">
      <c r="A87" s="350"/>
      <c r="B87" s="346"/>
      <c r="C87" s="608">
        <v>69</v>
      </c>
      <c r="D87" s="609" t="s">
        <v>26</v>
      </c>
      <c r="E87" s="293"/>
      <c r="F87" s="323"/>
      <c r="G87" s="330"/>
      <c r="H87" s="323"/>
      <c r="I87" s="323"/>
      <c r="J87" s="323"/>
      <c r="K87" s="323"/>
      <c r="L87" s="323"/>
    </row>
    <row r="88" spans="1:12" ht="13.8" x14ac:dyDescent="0.25">
      <c r="A88" s="348" t="s">
        <v>168</v>
      </c>
      <c r="B88" s="346">
        <v>8419</v>
      </c>
      <c r="C88" s="608">
        <v>82</v>
      </c>
      <c r="D88" s="609" t="s">
        <v>26</v>
      </c>
      <c r="E88" s="535">
        <v>0</v>
      </c>
      <c r="F88" s="344" t="s">
        <v>113</v>
      </c>
      <c r="G88" s="345" t="s">
        <v>114</v>
      </c>
      <c r="H88" s="323"/>
      <c r="I88" s="323"/>
      <c r="J88" s="323"/>
      <c r="K88" s="323"/>
      <c r="L88" s="323"/>
    </row>
    <row r="89" spans="1:12" ht="13.8" thickBot="1" x14ac:dyDescent="0.3">
      <c r="A89" s="351"/>
      <c r="B89" s="352"/>
      <c r="C89" s="620">
        <v>64.5</v>
      </c>
      <c r="D89" s="621" t="s">
        <v>26</v>
      </c>
      <c r="E89" s="549"/>
      <c r="F89" s="652">
        <f>AVERAGE(E74:E88)</f>
        <v>0</v>
      </c>
      <c r="G89" s="653">
        <f>STDEV(E74:E88)/SQRT(COUNT(E74:E88))</f>
        <v>0</v>
      </c>
      <c r="H89" s="323"/>
      <c r="I89" s="323"/>
      <c r="J89" s="323"/>
      <c r="K89" s="323"/>
      <c r="L89" s="323"/>
    </row>
    <row r="90" spans="1:12" x14ac:dyDescent="0.25">
      <c r="F90" s="323"/>
      <c r="G90" s="330"/>
      <c r="H90" s="323"/>
      <c r="I90" s="323"/>
      <c r="J90" s="323"/>
      <c r="K90" s="323"/>
      <c r="L90" s="323"/>
    </row>
    <row r="91" spans="1:12" x14ac:dyDescent="0.25">
      <c r="F91" s="323"/>
      <c r="G91" s="323"/>
      <c r="H91" s="323"/>
      <c r="I91" s="323"/>
      <c r="J91" s="323"/>
      <c r="K91" s="323"/>
      <c r="L91" s="323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34"/>
  <sheetViews>
    <sheetView topLeftCell="A92" workbookViewId="0">
      <selection activeCell="M74" sqref="M74"/>
    </sheetView>
  </sheetViews>
  <sheetFormatPr defaultRowHeight="13.2" x14ac:dyDescent="0.25"/>
  <cols>
    <col min="1" max="1" width="9.77734375" customWidth="1"/>
    <col min="3" max="3" width="10.21875" bestFit="1" customWidth="1"/>
    <col min="4" max="4" width="19.5546875" customWidth="1"/>
    <col min="10" max="10" width="23.21875" customWidth="1"/>
    <col min="11" max="11" width="12.21875" customWidth="1"/>
    <col min="12" max="12" width="12" customWidth="1"/>
    <col min="13" max="13" width="10.21875" customWidth="1"/>
    <col min="14" max="14" width="10.5546875" customWidth="1"/>
    <col min="257" max="257" width="9.77734375" customWidth="1"/>
    <col min="259" max="259" width="10.21875" bestFit="1" customWidth="1"/>
    <col min="260" max="260" width="19.5546875" customWidth="1"/>
    <col min="266" max="266" width="23.21875" customWidth="1"/>
    <col min="267" max="267" width="12.21875" customWidth="1"/>
    <col min="268" max="268" width="12" customWidth="1"/>
    <col min="269" max="269" width="10.21875" customWidth="1"/>
    <col min="270" max="270" width="10.5546875" customWidth="1"/>
    <col min="513" max="513" width="9.77734375" customWidth="1"/>
    <col min="515" max="515" width="10.21875" bestFit="1" customWidth="1"/>
    <col min="516" max="516" width="19.5546875" customWidth="1"/>
    <col min="522" max="522" width="23.21875" customWidth="1"/>
    <col min="523" max="523" width="12.21875" customWidth="1"/>
    <col min="524" max="524" width="12" customWidth="1"/>
    <col min="525" max="525" width="10.21875" customWidth="1"/>
    <col min="526" max="526" width="10.5546875" customWidth="1"/>
    <col min="769" max="769" width="9.77734375" customWidth="1"/>
    <col min="771" max="771" width="10.21875" bestFit="1" customWidth="1"/>
    <col min="772" max="772" width="19.5546875" customWidth="1"/>
    <col min="778" max="778" width="23.21875" customWidth="1"/>
    <col min="779" max="779" width="12.21875" customWidth="1"/>
    <col min="780" max="780" width="12" customWidth="1"/>
    <col min="781" max="781" width="10.21875" customWidth="1"/>
    <col min="782" max="782" width="10.5546875" customWidth="1"/>
    <col min="1025" max="1025" width="9.77734375" customWidth="1"/>
    <col min="1027" max="1027" width="10.21875" bestFit="1" customWidth="1"/>
    <col min="1028" max="1028" width="19.5546875" customWidth="1"/>
    <col min="1034" max="1034" width="23.21875" customWidth="1"/>
    <col min="1035" max="1035" width="12.21875" customWidth="1"/>
    <col min="1036" max="1036" width="12" customWidth="1"/>
    <col min="1037" max="1037" width="10.21875" customWidth="1"/>
    <col min="1038" max="1038" width="10.5546875" customWidth="1"/>
    <col min="1281" max="1281" width="9.77734375" customWidth="1"/>
    <col min="1283" max="1283" width="10.21875" bestFit="1" customWidth="1"/>
    <col min="1284" max="1284" width="19.5546875" customWidth="1"/>
    <col min="1290" max="1290" width="23.21875" customWidth="1"/>
    <col min="1291" max="1291" width="12.21875" customWidth="1"/>
    <col min="1292" max="1292" width="12" customWidth="1"/>
    <col min="1293" max="1293" width="10.21875" customWidth="1"/>
    <col min="1294" max="1294" width="10.5546875" customWidth="1"/>
    <col min="1537" max="1537" width="9.77734375" customWidth="1"/>
    <col min="1539" max="1539" width="10.21875" bestFit="1" customWidth="1"/>
    <col min="1540" max="1540" width="19.5546875" customWidth="1"/>
    <col min="1546" max="1546" width="23.21875" customWidth="1"/>
    <col min="1547" max="1547" width="12.21875" customWidth="1"/>
    <col min="1548" max="1548" width="12" customWidth="1"/>
    <col min="1549" max="1549" width="10.21875" customWidth="1"/>
    <col min="1550" max="1550" width="10.5546875" customWidth="1"/>
    <col min="1793" max="1793" width="9.77734375" customWidth="1"/>
    <col min="1795" max="1795" width="10.21875" bestFit="1" customWidth="1"/>
    <col min="1796" max="1796" width="19.5546875" customWidth="1"/>
    <col min="1802" max="1802" width="23.21875" customWidth="1"/>
    <col min="1803" max="1803" width="12.21875" customWidth="1"/>
    <col min="1804" max="1804" width="12" customWidth="1"/>
    <col min="1805" max="1805" width="10.21875" customWidth="1"/>
    <col min="1806" max="1806" width="10.5546875" customWidth="1"/>
    <col min="2049" max="2049" width="9.77734375" customWidth="1"/>
    <col min="2051" max="2051" width="10.21875" bestFit="1" customWidth="1"/>
    <col min="2052" max="2052" width="19.5546875" customWidth="1"/>
    <col min="2058" max="2058" width="23.21875" customWidth="1"/>
    <col min="2059" max="2059" width="12.21875" customWidth="1"/>
    <col min="2060" max="2060" width="12" customWidth="1"/>
    <col min="2061" max="2061" width="10.21875" customWidth="1"/>
    <col min="2062" max="2062" width="10.5546875" customWidth="1"/>
    <col min="2305" max="2305" width="9.77734375" customWidth="1"/>
    <col min="2307" max="2307" width="10.21875" bestFit="1" customWidth="1"/>
    <col min="2308" max="2308" width="19.5546875" customWidth="1"/>
    <col min="2314" max="2314" width="23.21875" customWidth="1"/>
    <col min="2315" max="2315" width="12.21875" customWidth="1"/>
    <col min="2316" max="2316" width="12" customWidth="1"/>
    <col min="2317" max="2317" width="10.21875" customWidth="1"/>
    <col min="2318" max="2318" width="10.5546875" customWidth="1"/>
    <col min="2561" max="2561" width="9.77734375" customWidth="1"/>
    <col min="2563" max="2563" width="10.21875" bestFit="1" customWidth="1"/>
    <col min="2564" max="2564" width="19.5546875" customWidth="1"/>
    <col min="2570" max="2570" width="23.21875" customWidth="1"/>
    <col min="2571" max="2571" width="12.21875" customWidth="1"/>
    <col min="2572" max="2572" width="12" customWidth="1"/>
    <col min="2573" max="2573" width="10.21875" customWidth="1"/>
    <col min="2574" max="2574" width="10.5546875" customWidth="1"/>
    <col min="2817" max="2817" width="9.77734375" customWidth="1"/>
    <col min="2819" max="2819" width="10.21875" bestFit="1" customWidth="1"/>
    <col min="2820" max="2820" width="19.5546875" customWidth="1"/>
    <col min="2826" max="2826" width="23.21875" customWidth="1"/>
    <col min="2827" max="2827" width="12.21875" customWidth="1"/>
    <col min="2828" max="2828" width="12" customWidth="1"/>
    <col min="2829" max="2829" width="10.21875" customWidth="1"/>
    <col min="2830" max="2830" width="10.5546875" customWidth="1"/>
    <col min="3073" max="3073" width="9.77734375" customWidth="1"/>
    <col min="3075" max="3075" width="10.21875" bestFit="1" customWidth="1"/>
    <col min="3076" max="3076" width="19.5546875" customWidth="1"/>
    <col min="3082" max="3082" width="23.21875" customWidth="1"/>
    <col min="3083" max="3083" width="12.21875" customWidth="1"/>
    <col min="3084" max="3084" width="12" customWidth="1"/>
    <col min="3085" max="3085" width="10.21875" customWidth="1"/>
    <col min="3086" max="3086" width="10.5546875" customWidth="1"/>
    <col min="3329" max="3329" width="9.77734375" customWidth="1"/>
    <col min="3331" max="3331" width="10.21875" bestFit="1" customWidth="1"/>
    <col min="3332" max="3332" width="19.5546875" customWidth="1"/>
    <col min="3338" max="3338" width="23.21875" customWidth="1"/>
    <col min="3339" max="3339" width="12.21875" customWidth="1"/>
    <col min="3340" max="3340" width="12" customWidth="1"/>
    <col min="3341" max="3341" width="10.21875" customWidth="1"/>
    <col min="3342" max="3342" width="10.5546875" customWidth="1"/>
    <col min="3585" max="3585" width="9.77734375" customWidth="1"/>
    <col min="3587" max="3587" width="10.21875" bestFit="1" customWidth="1"/>
    <col min="3588" max="3588" width="19.5546875" customWidth="1"/>
    <col min="3594" max="3594" width="23.21875" customWidth="1"/>
    <col min="3595" max="3595" width="12.21875" customWidth="1"/>
    <col min="3596" max="3596" width="12" customWidth="1"/>
    <col min="3597" max="3597" width="10.21875" customWidth="1"/>
    <col min="3598" max="3598" width="10.5546875" customWidth="1"/>
    <col min="3841" max="3841" width="9.77734375" customWidth="1"/>
    <col min="3843" max="3843" width="10.21875" bestFit="1" customWidth="1"/>
    <col min="3844" max="3844" width="19.5546875" customWidth="1"/>
    <col min="3850" max="3850" width="23.21875" customWidth="1"/>
    <col min="3851" max="3851" width="12.21875" customWidth="1"/>
    <col min="3852" max="3852" width="12" customWidth="1"/>
    <col min="3853" max="3853" width="10.21875" customWidth="1"/>
    <col min="3854" max="3854" width="10.5546875" customWidth="1"/>
    <col min="4097" max="4097" width="9.77734375" customWidth="1"/>
    <col min="4099" max="4099" width="10.21875" bestFit="1" customWidth="1"/>
    <col min="4100" max="4100" width="19.5546875" customWidth="1"/>
    <col min="4106" max="4106" width="23.21875" customWidth="1"/>
    <col min="4107" max="4107" width="12.21875" customWidth="1"/>
    <col min="4108" max="4108" width="12" customWidth="1"/>
    <col min="4109" max="4109" width="10.21875" customWidth="1"/>
    <col min="4110" max="4110" width="10.5546875" customWidth="1"/>
    <col min="4353" max="4353" width="9.77734375" customWidth="1"/>
    <col min="4355" max="4355" width="10.21875" bestFit="1" customWidth="1"/>
    <col min="4356" max="4356" width="19.5546875" customWidth="1"/>
    <col min="4362" max="4362" width="23.21875" customWidth="1"/>
    <col min="4363" max="4363" width="12.21875" customWidth="1"/>
    <col min="4364" max="4364" width="12" customWidth="1"/>
    <col min="4365" max="4365" width="10.21875" customWidth="1"/>
    <col min="4366" max="4366" width="10.5546875" customWidth="1"/>
    <col min="4609" max="4609" width="9.77734375" customWidth="1"/>
    <col min="4611" max="4611" width="10.21875" bestFit="1" customWidth="1"/>
    <col min="4612" max="4612" width="19.5546875" customWidth="1"/>
    <col min="4618" max="4618" width="23.21875" customWidth="1"/>
    <col min="4619" max="4619" width="12.21875" customWidth="1"/>
    <col min="4620" max="4620" width="12" customWidth="1"/>
    <col min="4621" max="4621" width="10.21875" customWidth="1"/>
    <col min="4622" max="4622" width="10.5546875" customWidth="1"/>
    <col min="4865" max="4865" width="9.77734375" customWidth="1"/>
    <col min="4867" max="4867" width="10.21875" bestFit="1" customWidth="1"/>
    <col min="4868" max="4868" width="19.5546875" customWidth="1"/>
    <col min="4874" max="4874" width="23.21875" customWidth="1"/>
    <col min="4875" max="4875" width="12.21875" customWidth="1"/>
    <col min="4876" max="4876" width="12" customWidth="1"/>
    <col min="4877" max="4877" width="10.21875" customWidth="1"/>
    <col min="4878" max="4878" width="10.5546875" customWidth="1"/>
    <col min="5121" max="5121" width="9.77734375" customWidth="1"/>
    <col min="5123" max="5123" width="10.21875" bestFit="1" customWidth="1"/>
    <col min="5124" max="5124" width="19.5546875" customWidth="1"/>
    <col min="5130" max="5130" width="23.21875" customWidth="1"/>
    <col min="5131" max="5131" width="12.21875" customWidth="1"/>
    <col min="5132" max="5132" width="12" customWidth="1"/>
    <col min="5133" max="5133" width="10.21875" customWidth="1"/>
    <col min="5134" max="5134" width="10.5546875" customWidth="1"/>
    <col min="5377" max="5377" width="9.77734375" customWidth="1"/>
    <col min="5379" max="5379" width="10.21875" bestFit="1" customWidth="1"/>
    <col min="5380" max="5380" width="19.5546875" customWidth="1"/>
    <col min="5386" max="5386" width="23.21875" customWidth="1"/>
    <col min="5387" max="5387" width="12.21875" customWidth="1"/>
    <col min="5388" max="5388" width="12" customWidth="1"/>
    <col min="5389" max="5389" width="10.21875" customWidth="1"/>
    <col min="5390" max="5390" width="10.5546875" customWidth="1"/>
    <col min="5633" max="5633" width="9.77734375" customWidth="1"/>
    <col min="5635" max="5635" width="10.21875" bestFit="1" customWidth="1"/>
    <col min="5636" max="5636" width="19.5546875" customWidth="1"/>
    <col min="5642" max="5642" width="23.21875" customWidth="1"/>
    <col min="5643" max="5643" width="12.21875" customWidth="1"/>
    <col min="5644" max="5644" width="12" customWidth="1"/>
    <col min="5645" max="5645" width="10.21875" customWidth="1"/>
    <col min="5646" max="5646" width="10.5546875" customWidth="1"/>
    <col min="5889" max="5889" width="9.77734375" customWidth="1"/>
    <col min="5891" max="5891" width="10.21875" bestFit="1" customWidth="1"/>
    <col min="5892" max="5892" width="19.5546875" customWidth="1"/>
    <col min="5898" max="5898" width="23.21875" customWidth="1"/>
    <col min="5899" max="5899" width="12.21875" customWidth="1"/>
    <col min="5900" max="5900" width="12" customWidth="1"/>
    <col min="5901" max="5901" width="10.21875" customWidth="1"/>
    <col min="5902" max="5902" width="10.5546875" customWidth="1"/>
    <col min="6145" max="6145" width="9.77734375" customWidth="1"/>
    <col min="6147" max="6147" width="10.21875" bestFit="1" customWidth="1"/>
    <col min="6148" max="6148" width="19.5546875" customWidth="1"/>
    <col min="6154" max="6154" width="23.21875" customWidth="1"/>
    <col min="6155" max="6155" width="12.21875" customWidth="1"/>
    <col min="6156" max="6156" width="12" customWidth="1"/>
    <col min="6157" max="6157" width="10.21875" customWidth="1"/>
    <col min="6158" max="6158" width="10.5546875" customWidth="1"/>
    <col min="6401" max="6401" width="9.77734375" customWidth="1"/>
    <col min="6403" max="6403" width="10.21875" bestFit="1" customWidth="1"/>
    <col min="6404" max="6404" width="19.5546875" customWidth="1"/>
    <col min="6410" max="6410" width="23.21875" customWidth="1"/>
    <col min="6411" max="6411" width="12.21875" customWidth="1"/>
    <col min="6412" max="6412" width="12" customWidth="1"/>
    <col min="6413" max="6413" width="10.21875" customWidth="1"/>
    <col min="6414" max="6414" width="10.5546875" customWidth="1"/>
    <col min="6657" max="6657" width="9.77734375" customWidth="1"/>
    <col min="6659" max="6659" width="10.21875" bestFit="1" customWidth="1"/>
    <col min="6660" max="6660" width="19.5546875" customWidth="1"/>
    <col min="6666" max="6666" width="23.21875" customWidth="1"/>
    <col min="6667" max="6667" width="12.21875" customWidth="1"/>
    <col min="6668" max="6668" width="12" customWidth="1"/>
    <col min="6669" max="6669" width="10.21875" customWidth="1"/>
    <col min="6670" max="6670" width="10.5546875" customWidth="1"/>
    <col min="6913" max="6913" width="9.77734375" customWidth="1"/>
    <col min="6915" max="6915" width="10.21875" bestFit="1" customWidth="1"/>
    <col min="6916" max="6916" width="19.5546875" customWidth="1"/>
    <col min="6922" max="6922" width="23.21875" customWidth="1"/>
    <col min="6923" max="6923" width="12.21875" customWidth="1"/>
    <col min="6924" max="6924" width="12" customWidth="1"/>
    <col min="6925" max="6925" width="10.21875" customWidth="1"/>
    <col min="6926" max="6926" width="10.5546875" customWidth="1"/>
    <col min="7169" max="7169" width="9.77734375" customWidth="1"/>
    <col min="7171" max="7171" width="10.21875" bestFit="1" customWidth="1"/>
    <col min="7172" max="7172" width="19.5546875" customWidth="1"/>
    <col min="7178" max="7178" width="23.21875" customWidth="1"/>
    <col min="7179" max="7179" width="12.21875" customWidth="1"/>
    <col min="7180" max="7180" width="12" customWidth="1"/>
    <col min="7181" max="7181" width="10.21875" customWidth="1"/>
    <col min="7182" max="7182" width="10.5546875" customWidth="1"/>
    <col min="7425" max="7425" width="9.77734375" customWidth="1"/>
    <col min="7427" max="7427" width="10.21875" bestFit="1" customWidth="1"/>
    <col min="7428" max="7428" width="19.5546875" customWidth="1"/>
    <col min="7434" max="7434" width="23.21875" customWidth="1"/>
    <col min="7435" max="7435" width="12.21875" customWidth="1"/>
    <col min="7436" max="7436" width="12" customWidth="1"/>
    <col min="7437" max="7437" width="10.21875" customWidth="1"/>
    <col min="7438" max="7438" width="10.5546875" customWidth="1"/>
    <col min="7681" max="7681" width="9.77734375" customWidth="1"/>
    <col min="7683" max="7683" width="10.21875" bestFit="1" customWidth="1"/>
    <col min="7684" max="7684" width="19.5546875" customWidth="1"/>
    <col min="7690" max="7690" width="23.21875" customWidth="1"/>
    <col min="7691" max="7691" width="12.21875" customWidth="1"/>
    <col min="7692" max="7692" width="12" customWidth="1"/>
    <col min="7693" max="7693" width="10.21875" customWidth="1"/>
    <col min="7694" max="7694" width="10.5546875" customWidth="1"/>
    <col min="7937" max="7937" width="9.77734375" customWidth="1"/>
    <col min="7939" max="7939" width="10.21875" bestFit="1" customWidth="1"/>
    <col min="7940" max="7940" width="19.5546875" customWidth="1"/>
    <col min="7946" max="7946" width="23.21875" customWidth="1"/>
    <col min="7947" max="7947" width="12.21875" customWidth="1"/>
    <col min="7948" max="7948" width="12" customWidth="1"/>
    <col min="7949" max="7949" width="10.21875" customWidth="1"/>
    <col min="7950" max="7950" width="10.5546875" customWidth="1"/>
    <col min="8193" max="8193" width="9.77734375" customWidth="1"/>
    <col min="8195" max="8195" width="10.21875" bestFit="1" customWidth="1"/>
    <col min="8196" max="8196" width="19.5546875" customWidth="1"/>
    <col min="8202" max="8202" width="23.21875" customWidth="1"/>
    <col min="8203" max="8203" width="12.21875" customWidth="1"/>
    <col min="8204" max="8204" width="12" customWidth="1"/>
    <col min="8205" max="8205" width="10.21875" customWidth="1"/>
    <col min="8206" max="8206" width="10.5546875" customWidth="1"/>
    <col min="8449" max="8449" width="9.77734375" customWidth="1"/>
    <col min="8451" max="8451" width="10.21875" bestFit="1" customWidth="1"/>
    <col min="8452" max="8452" width="19.5546875" customWidth="1"/>
    <col min="8458" max="8458" width="23.21875" customWidth="1"/>
    <col min="8459" max="8459" width="12.21875" customWidth="1"/>
    <col min="8460" max="8460" width="12" customWidth="1"/>
    <col min="8461" max="8461" width="10.21875" customWidth="1"/>
    <col min="8462" max="8462" width="10.5546875" customWidth="1"/>
    <col min="8705" max="8705" width="9.77734375" customWidth="1"/>
    <col min="8707" max="8707" width="10.21875" bestFit="1" customWidth="1"/>
    <col min="8708" max="8708" width="19.5546875" customWidth="1"/>
    <col min="8714" max="8714" width="23.21875" customWidth="1"/>
    <col min="8715" max="8715" width="12.21875" customWidth="1"/>
    <col min="8716" max="8716" width="12" customWidth="1"/>
    <col min="8717" max="8717" width="10.21875" customWidth="1"/>
    <col min="8718" max="8718" width="10.5546875" customWidth="1"/>
    <col min="8961" max="8961" width="9.77734375" customWidth="1"/>
    <col min="8963" max="8963" width="10.21875" bestFit="1" customWidth="1"/>
    <col min="8964" max="8964" width="19.5546875" customWidth="1"/>
    <col min="8970" max="8970" width="23.21875" customWidth="1"/>
    <col min="8971" max="8971" width="12.21875" customWidth="1"/>
    <col min="8972" max="8972" width="12" customWidth="1"/>
    <col min="8973" max="8973" width="10.21875" customWidth="1"/>
    <col min="8974" max="8974" width="10.5546875" customWidth="1"/>
    <col min="9217" max="9217" width="9.77734375" customWidth="1"/>
    <col min="9219" max="9219" width="10.21875" bestFit="1" customWidth="1"/>
    <col min="9220" max="9220" width="19.5546875" customWidth="1"/>
    <col min="9226" max="9226" width="23.21875" customWidth="1"/>
    <col min="9227" max="9227" width="12.21875" customWidth="1"/>
    <col min="9228" max="9228" width="12" customWidth="1"/>
    <col min="9229" max="9229" width="10.21875" customWidth="1"/>
    <col min="9230" max="9230" width="10.5546875" customWidth="1"/>
    <col min="9473" max="9473" width="9.77734375" customWidth="1"/>
    <col min="9475" max="9475" width="10.21875" bestFit="1" customWidth="1"/>
    <col min="9476" max="9476" width="19.5546875" customWidth="1"/>
    <col min="9482" max="9482" width="23.21875" customWidth="1"/>
    <col min="9483" max="9483" width="12.21875" customWidth="1"/>
    <col min="9484" max="9484" width="12" customWidth="1"/>
    <col min="9485" max="9485" width="10.21875" customWidth="1"/>
    <col min="9486" max="9486" width="10.5546875" customWidth="1"/>
    <col min="9729" max="9729" width="9.77734375" customWidth="1"/>
    <col min="9731" max="9731" width="10.21875" bestFit="1" customWidth="1"/>
    <col min="9732" max="9732" width="19.5546875" customWidth="1"/>
    <col min="9738" max="9738" width="23.21875" customWidth="1"/>
    <col min="9739" max="9739" width="12.21875" customWidth="1"/>
    <col min="9740" max="9740" width="12" customWidth="1"/>
    <col min="9741" max="9741" width="10.21875" customWidth="1"/>
    <col min="9742" max="9742" width="10.5546875" customWidth="1"/>
    <col min="9985" max="9985" width="9.77734375" customWidth="1"/>
    <col min="9987" max="9987" width="10.21875" bestFit="1" customWidth="1"/>
    <col min="9988" max="9988" width="19.5546875" customWidth="1"/>
    <col min="9994" max="9994" width="23.21875" customWidth="1"/>
    <col min="9995" max="9995" width="12.21875" customWidth="1"/>
    <col min="9996" max="9996" width="12" customWidth="1"/>
    <col min="9997" max="9997" width="10.21875" customWidth="1"/>
    <col min="9998" max="9998" width="10.5546875" customWidth="1"/>
    <col min="10241" max="10241" width="9.77734375" customWidth="1"/>
    <col min="10243" max="10243" width="10.21875" bestFit="1" customWidth="1"/>
    <col min="10244" max="10244" width="19.5546875" customWidth="1"/>
    <col min="10250" max="10250" width="23.21875" customWidth="1"/>
    <col min="10251" max="10251" width="12.21875" customWidth="1"/>
    <col min="10252" max="10252" width="12" customWidth="1"/>
    <col min="10253" max="10253" width="10.21875" customWidth="1"/>
    <col min="10254" max="10254" width="10.5546875" customWidth="1"/>
    <col min="10497" max="10497" width="9.77734375" customWidth="1"/>
    <col min="10499" max="10499" width="10.21875" bestFit="1" customWidth="1"/>
    <col min="10500" max="10500" width="19.5546875" customWidth="1"/>
    <col min="10506" max="10506" width="23.21875" customWidth="1"/>
    <col min="10507" max="10507" width="12.21875" customWidth="1"/>
    <col min="10508" max="10508" width="12" customWidth="1"/>
    <col min="10509" max="10509" width="10.21875" customWidth="1"/>
    <col min="10510" max="10510" width="10.5546875" customWidth="1"/>
    <col min="10753" max="10753" width="9.77734375" customWidth="1"/>
    <col min="10755" max="10755" width="10.21875" bestFit="1" customWidth="1"/>
    <col min="10756" max="10756" width="19.5546875" customWidth="1"/>
    <col min="10762" max="10762" width="23.21875" customWidth="1"/>
    <col min="10763" max="10763" width="12.21875" customWidth="1"/>
    <col min="10764" max="10764" width="12" customWidth="1"/>
    <col min="10765" max="10765" width="10.21875" customWidth="1"/>
    <col min="10766" max="10766" width="10.5546875" customWidth="1"/>
    <col min="11009" max="11009" width="9.77734375" customWidth="1"/>
    <col min="11011" max="11011" width="10.21875" bestFit="1" customWidth="1"/>
    <col min="11012" max="11012" width="19.5546875" customWidth="1"/>
    <col min="11018" max="11018" width="23.21875" customWidth="1"/>
    <col min="11019" max="11019" width="12.21875" customWidth="1"/>
    <col min="11020" max="11020" width="12" customWidth="1"/>
    <col min="11021" max="11021" width="10.21875" customWidth="1"/>
    <col min="11022" max="11022" width="10.5546875" customWidth="1"/>
    <col min="11265" max="11265" width="9.77734375" customWidth="1"/>
    <col min="11267" max="11267" width="10.21875" bestFit="1" customWidth="1"/>
    <col min="11268" max="11268" width="19.5546875" customWidth="1"/>
    <col min="11274" max="11274" width="23.21875" customWidth="1"/>
    <col min="11275" max="11275" width="12.21875" customWidth="1"/>
    <col min="11276" max="11276" width="12" customWidth="1"/>
    <col min="11277" max="11277" width="10.21875" customWidth="1"/>
    <col min="11278" max="11278" width="10.5546875" customWidth="1"/>
    <col min="11521" max="11521" width="9.77734375" customWidth="1"/>
    <col min="11523" max="11523" width="10.21875" bestFit="1" customWidth="1"/>
    <col min="11524" max="11524" width="19.5546875" customWidth="1"/>
    <col min="11530" max="11530" width="23.21875" customWidth="1"/>
    <col min="11531" max="11531" width="12.21875" customWidth="1"/>
    <col min="11532" max="11532" width="12" customWidth="1"/>
    <col min="11533" max="11533" width="10.21875" customWidth="1"/>
    <col min="11534" max="11534" width="10.5546875" customWidth="1"/>
    <col min="11777" max="11777" width="9.77734375" customWidth="1"/>
    <col min="11779" max="11779" width="10.21875" bestFit="1" customWidth="1"/>
    <col min="11780" max="11780" width="19.5546875" customWidth="1"/>
    <col min="11786" max="11786" width="23.21875" customWidth="1"/>
    <col min="11787" max="11787" width="12.21875" customWidth="1"/>
    <col min="11788" max="11788" width="12" customWidth="1"/>
    <col min="11789" max="11789" width="10.21875" customWidth="1"/>
    <col min="11790" max="11790" width="10.5546875" customWidth="1"/>
    <col min="12033" max="12033" width="9.77734375" customWidth="1"/>
    <col min="12035" max="12035" width="10.21875" bestFit="1" customWidth="1"/>
    <col min="12036" max="12036" width="19.5546875" customWidth="1"/>
    <col min="12042" max="12042" width="23.21875" customWidth="1"/>
    <col min="12043" max="12043" width="12.21875" customWidth="1"/>
    <col min="12044" max="12044" width="12" customWidth="1"/>
    <col min="12045" max="12045" width="10.21875" customWidth="1"/>
    <col min="12046" max="12046" width="10.5546875" customWidth="1"/>
    <col min="12289" max="12289" width="9.77734375" customWidth="1"/>
    <col min="12291" max="12291" width="10.21875" bestFit="1" customWidth="1"/>
    <col min="12292" max="12292" width="19.5546875" customWidth="1"/>
    <col min="12298" max="12298" width="23.21875" customWidth="1"/>
    <col min="12299" max="12299" width="12.21875" customWidth="1"/>
    <col min="12300" max="12300" width="12" customWidth="1"/>
    <col min="12301" max="12301" width="10.21875" customWidth="1"/>
    <col min="12302" max="12302" width="10.5546875" customWidth="1"/>
    <col min="12545" max="12545" width="9.77734375" customWidth="1"/>
    <col min="12547" max="12547" width="10.21875" bestFit="1" customWidth="1"/>
    <col min="12548" max="12548" width="19.5546875" customWidth="1"/>
    <col min="12554" max="12554" width="23.21875" customWidth="1"/>
    <col min="12555" max="12555" width="12.21875" customWidth="1"/>
    <col min="12556" max="12556" width="12" customWidth="1"/>
    <col min="12557" max="12557" width="10.21875" customWidth="1"/>
    <col min="12558" max="12558" width="10.5546875" customWidth="1"/>
    <col min="12801" max="12801" width="9.77734375" customWidth="1"/>
    <col min="12803" max="12803" width="10.21875" bestFit="1" customWidth="1"/>
    <col min="12804" max="12804" width="19.5546875" customWidth="1"/>
    <col min="12810" max="12810" width="23.21875" customWidth="1"/>
    <col min="12811" max="12811" width="12.21875" customWidth="1"/>
    <col min="12812" max="12812" width="12" customWidth="1"/>
    <col min="12813" max="12813" width="10.21875" customWidth="1"/>
    <col min="12814" max="12814" width="10.5546875" customWidth="1"/>
    <col min="13057" max="13057" width="9.77734375" customWidth="1"/>
    <col min="13059" max="13059" width="10.21875" bestFit="1" customWidth="1"/>
    <col min="13060" max="13060" width="19.5546875" customWidth="1"/>
    <col min="13066" max="13066" width="23.21875" customWidth="1"/>
    <col min="13067" max="13067" width="12.21875" customWidth="1"/>
    <col min="13068" max="13068" width="12" customWidth="1"/>
    <col min="13069" max="13069" width="10.21875" customWidth="1"/>
    <col min="13070" max="13070" width="10.5546875" customWidth="1"/>
    <col min="13313" max="13313" width="9.77734375" customWidth="1"/>
    <col min="13315" max="13315" width="10.21875" bestFit="1" customWidth="1"/>
    <col min="13316" max="13316" width="19.5546875" customWidth="1"/>
    <col min="13322" max="13322" width="23.21875" customWidth="1"/>
    <col min="13323" max="13323" width="12.21875" customWidth="1"/>
    <col min="13324" max="13324" width="12" customWidth="1"/>
    <col min="13325" max="13325" width="10.21875" customWidth="1"/>
    <col min="13326" max="13326" width="10.5546875" customWidth="1"/>
    <col min="13569" max="13569" width="9.77734375" customWidth="1"/>
    <col min="13571" max="13571" width="10.21875" bestFit="1" customWidth="1"/>
    <col min="13572" max="13572" width="19.5546875" customWidth="1"/>
    <col min="13578" max="13578" width="23.21875" customWidth="1"/>
    <col min="13579" max="13579" width="12.21875" customWidth="1"/>
    <col min="13580" max="13580" width="12" customWidth="1"/>
    <col min="13581" max="13581" width="10.21875" customWidth="1"/>
    <col min="13582" max="13582" width="10.5546875" customWidth="1"/>
    <col min="13825" max="13825" width="9.77734375" customWidth="1"/>
    <col min="13827" max="13827" width="10.21875" bestFit="1" customWidth="1"/>
    <col min="13828" max="13828" width="19.5546875" customWidth="1"/>
    <col min="13834" max="13834" width="23.21875" customWidth="1"/>
    <col min="13835" max="13835" width="12.21875" customWidth="1"/>
    <col min="13836" max="13836" width="12" customWidth="1"/>
    <col min="13837" max="13837" width="10.21875" customWidth="1"/>
    <col min="13838" max="13838" width="10.5546875" customWidth="1"/>
    <col min="14081" max="14081" width="9.77734375" customWidth="1"/>
    <col min="14083" max="14083" width="10.21875" bestFit="1" customWidth="1"/>
    <col min="14084" max="14084" width="19.5546875" customWidth="1"/>
    <col min="14090" max="14090" width="23.21875" customWidth="1"/>
    <col min="14091" max="14091" width="12.21875" customWidth="1"/>
    <col min="14092" max="14092" width="12" customWidth="1"/>
    <col min="14093" max="14093" width="10.21875" customWidth="1"/>
    <col min="14094" max="14094" width="10.5546875" customWidth="1"/>
    <col min="14337" max="14337" width="9.77734375" customWidth="1"/>
    <col min="14339" max="14339" width="10.21875" bestFit="1" customWidth="1"/>
    <col min="14340" max="14340" width="19.5546875" customWidth="1"/>
    <col min="14346" max="14346" width="23.21875" customWidth="1"/>
    <col min="14347" max="14347" width="12.21875" customWidth="1"/>
    <col min="14348" max="14348" width="12" customWidth="1"/>
    <col min="14349" max="14349" width="10.21875" customWidth="1"/>
    <col min="14350" max="14350" width="10.5546875" customWidth="1"/>
    <col min="14593" max="14593" width="9.77734375" customWidth="1"/>
    <col min="14595" max="14595" width="10.21875" bestFit="1" customWidth="1"/>
    <col min="14596" max="14596" width="19.5546875" customWidth="1"/>
    <col min="14602" max="14602" width="23.21875" customWidth="1"/>
    <col min="14603" max="14603" width="12.21875" customWidth="1"/>
    <col min="14604" max="14604" width="12" customWidth="1"/>
    <col min="14605" max="14605" width="10.21875" customWidth="1"/>
    <col min="14606" max="14606" width="10.5546875" customWidth="1"/>
    <col min="14849" max="14849" width="9.77734375" customWidth="1"/>
    <col min="14851" max="14851" width="10.21875" bestFit="1" customWidth="1"/>
    <col min="14852" max="14852" width="19.5546875" customWidth="1"/>
    <col min="14858" max="14858" width="23.21875" customWidth="1"/>
    <col min="14859" max="14859" width="12.21875" customWidth="1"/>
    <col min="14860" max="14860" width="12" customWidth="1"/>
    <col min="14861" max="14861" width="10.21875" customWidth="1"/>
    <col min="14862" max="14862" width="10.5546875" customWidth="1"/>
    <col min="15105" max="15105" width="9.77734375" customWidth="1"/>
    <col min="15107" max="15107" width="10.21875" bestFit="1" customWidth="1"/>
    <col min="15108" max="15108" width="19.5546875" customWidth="1"/>
    <col min="15114" max="15114" width="23.21875" customWidth="1"/>
    <col min="15115" max="15115" width="12.21875" customWidth="1"/>
    <col min="15116" max="15116" width="12" customWidth="1"/>
    <col min="15117" max="15117" width="10.21875" customWidth="1"/>
    <col min="15118" max="15118" width="10.5546875" customWidth="1"/>
    <col min="15361" max="15361" width="9.77734375" customWidth="1"/>
    <col min="15363" max="15363" width="10.21875" bestFit="1" customWidth="1"/>
    <col min="15364" max="15364" width="19.5546875" customWidth="1"/>
    <col min="15370" max="15370" width="23.21875" customWidth="1"/>
    <col min="15371" max="15371" width="12.21875" customWidth="1"/>
    <col min="15372" max="15372" width="12" customWidth="1"/>
    <col min="15373" max="15373" width="10.21875" customWidth="1"/>
    <col min="15374" max="15374" width="10.5546875" customWidth="1"/>
    <col min="15617" max="15617" width="9.77734375" customWidth="1"/>
    <col min="15619" max="15619" width="10.21875" bestFit="1" customWidth="1"/>
    <col min="15620" max="15620" width="19.5546875" customWidth="1"/>
    <col min="15626" max="15626" width="23.21875" customWidth="1"/>
    <col min="15627" max="15627" width="12.21875" customWidth="1"/>
    <col min="15628" max="15628" width="12" customWidth="1"/>
    <col min="15629" max="15629" width="10.21875" customWidth="1"/>
    <col min="15630" max="15630" width="10.5546875" customWidth="1"/>
    <col min="15873" max="15873" width="9.77734375" customWidth="1"/>
    <col min="15875" max="15875" width="10.21875" bestFit="1" customWidth="1"/>
    <col min="15876" max="15876" width="19.5546875" customWidth="1"/>
    <col min="15882" max="15882" width="23.21875" customWidth="1"/>
    <col min="15883" max="15883" width="12.21875" customWidth="1"/>
    <col min="15884" max="15884" width="12" customWidth="1"/>
    <col min="15885" max="15885" width="10.21875" customWidth="1"/>
    <col min="15886" max="15886" width="10.5546875" customWidth="1"/>
    <col min="16129" max="16129" width="9.77734375" customWidth="1"/>
    <col min="16131" max="16131" width="10.21875" bestFit="1" customWidth="1"/>
    <col min="16132" max="16132" width="19.5546875" customWidth="1"/>
    <col min="16138" max="16138" width="23.21875" customWidth="1"/>
    <col min="16139" max="16139" width="12.21875" customWidth="1"/>
    <col min="16140" max="16140" width="12" customWidth="1"/>
    <col min="16141" max="16141" width="10.21875" customWidth="1"/>
    <col min="16142" max="16142" width="10.5546875" customWidth="1"/>
  </cols>
  <sheetData>
    <row r="1" spans="1:21" ht="16.2" thickBot="1" x14ac:dyDescent="0.35">
      <c r="A1" s="50" t="s">
        <v>15</v>
      </c>
    </row>
    <row r="2" spans="1:21" ht="16.2" thickBot="1" x14ac:dyDescent="0.35">
      <c r="A2" s="50" t="s">
        <v>16</v>
      </c>
      <c r="B2" s="5"/>
      <c r="C2" s="3"/>
      <c r="D2" s="9">
        <v>42381</v>
      </c>
    </row>
    <row r="3" spans="1:21" x14ac:dyDescent="0.25">
      <c r="A3" s="8"/>
      <c r="C3" s="3"/>
      <c r="J3" s="3"/>
    </row>
    <row r="4" spans="1:21" x14ac:dyDescent="0.25">
      <c r="A4" s="8"/>
    </row>
    <row r="5" spans="1:21" ht="13.8" thickBot="1" x14ac:dyDescent="0.3">
      <c r="F5" s="51" t="s">
        <v>5</v>
      </c>
      <c r="G5" s="51" t="s">
        <v>6</v>
      </c>
      <c r="H5" s="51" t="s">
        <v>17</v>
      </c>
      <c r="I5" s="51"/>
    </row>
    <row r="6" spans="1:21" x14ac:dyDescent="0.25">
      <c r="A6">
        <v>1.1719999999999999</v>
      </c>
      <c r="B6">
        <v>400</v>
      </c>
      <c r="C6" s="24">
        <v>0.47699999999999998</v>
      </c>
      <c r="D6" s="6">
        <v>8826</v>
      </c>
      <c r="E6" s="25"/>
      <c r="F6" s="25"/>
      <c r="G6" s="25"/>
      <c r="H6" s="52"/>
      <c r="S6" s="1"/>
      <c r="T6" s="1"/>
      <c r="U6" s="2"/>
    </row>
    <row r="7" spans="1:21" x14ac:dyDescent="0.25">
      <c r="A7">
        <v>1.9159999999999999</v>
      </c>
      <c r="B7">
        <v>400</v>
      </c>
      <c r="C7" s="26">
        <v>0.46600000000000003</v>
      </c>
      <c r="D7" s="22" t="s">
        <v>18</v>
      </c>
      <c r="E7" s="21">
        <f>AVERAGE(C6:C8)</f>
        <v>0.47150000000000003</v>
      </c>
      <c r="F7" s="21">
        <f>242.45*E7 - 22.248</f>
        <v>92.067174999999992</v>
      </c>
      <c r="G7" s="21">
        <v>75.332229999999996</v>
      </c>
      <c r="H7" s="35">
        <f>AVERAGE(F7:G7)</f>
        <v>83.699702500000001</v>
      </c>
      <c r="S7" s="1"/>
      <c r="T7" s="1"/>
      <c r="U7" s="2"/>
    </row>
    <row r="8" spans="1:21" x14ac:dyDescent="0.25">
      <c r="B8">
        <v>400</v>
      </c>
      <c r="C8" s="26"/>
      <c r="D8" s="23"/>
      <c r="E8" s="21"/>
      <c r="F8" s="21"/>
      <c r="G8" s="21"/>
      <c r="H8" s="35"/>
      <c r="S8" s="1"/>
      <c r="T8" s="1"/>
      <c r="U8" s="2"/>
    </row>
    <row r="9" spans="1:21" x14ac:dyDescent="0.25">
      <c r="A9">
        <v>1.0269999999999999</v>
      </c>
      <c r="B9">
        <v>200</v>
      </c>
      <c r="C9" s="26">
        <v>0.45800000000000002</v>
      </c>
      <c r="D9" s="22">
        <v>8824</v>
      </c>
      <c r="E9" s="21">
        <f>AVERAGE(C9:C11)</f>
        <v>0.46699999999999997</v>
      </c>
      <c r="F9" s="21">
        <f>242.45*E9 - 22.248</f>
        <v>90.97614999999999</v>
      </c>
      <c r="G9" s="21">
        <v>103.15167</v>
      </c>
      <c r="H9" s="35">
        <f>AVERAGE(F9:G9)</f>
        <v>97.063909999999993</v>
      </c>
      <c r="S9" s="1"/>
      <c r="T9" s="1"/>
      <c r="U9" s="2"/>
    </row>
    <row r="10" spans="1:21" ht="15.75" customHeight="1" x14ac:dyDescent="0.25">
      <c r="A10">
        <v>1.052</v>
      </c>
      <c r="B10">
        <v>200</v>
      </c>
      <c r="C10" s="26">
        <v>0.47599999999999998</v>
      </c>
      <c r="D10" s="22" t="s">
        <v>18</v>
      </c>
      <c r="E10" s="21"/>
      <c r="F10" s="21"/>
      <c r="G10" s="21"/>
      <c r="H10" s="35"/>
      <c r="S10" s="1"/>
      <c r="T10" s="1"/>
      <c r="U10" s="2"/>
    </row>
    <row r="11" spans="1:21" x14ac:dyDescent="0.25">
      <c r="B11">
        <v>200</v>
      </c>
      <c r="C11" s="26"/>
      <c r="D11" s="23"/>
      <c r="E11" s="21"/>
      <c r="F11" s="21"/>
      <c r="G11" s="21"/>
      <c r="H11" s="35"/>
      <c r="S11" s="1"/>
      <c r="T11" s="1"/>
      <c r="U11" s="2"/>
    </row>
    <row r="12" spans="1:21" x14ac:dyDescent="0.25">
      <c r="A12">
        <v>0.58099999999999996</v>
      </c>
      <c r="B12">
        <v>100</v>
      </c>
      <c r="C12" s="26">
        <v>0.54100000000000004</v>
      </c>
      <c r="D12" s="22">
        <v>3461</v>
      </c>
      <c r="E12" s="21">
        <f>AVERAGE(C12:C14)</f>
        <v>0.53849999999999998</v>
      </c>
      <c r="F12" s="21">
        <f>242.45*E12 - 22.248</f>
        <v>108.311325</v>
      </c>
      <c r="G12" s="21">
        <v>117.06138999999999</v>
      </c>
      <c r="H12" s="35">
        <f>AVERAGE(F12:G12)</f>
        <v>112.68635749999999</v>
      </c>
      <c r="S12" s="1"/>
      <c r="T12" s="1"/>
      <c r="U12" s="2"/>
    </row>
    <row r="13" spans="1:21" x14ac:dyDescent="0.25">
      <c r="A13">
        <v>0.53700000000000003</v>
      </c>
      <c r="B13">
        <v>100</v>
      </c>
      <c r="C13" s="26">
        <v>0.53600000000000003</v>
      </c>
      <c r="D13" s="22" t="s">
        <v>18</v>
      </c>
      <c r="E13" s="21"/>
      <c r="F13" s="21"/>
      <c r="G13" s="21"/>
      <c r="H13" s="35"/>
      <c r="Q13" s="1"/>
      <c r="S13" s="1"/>
      <c r="T13" s="1"/>
      <c r="U13" s="2"/>
    </row>
    <row r="14" spans="1:21" x14ac:dyDescent="0.25">
      <c r="B14">
        <v>100</v>
      </c>
      <c r="C14" s="26"/>
      <c r="D14" s="23"/>
      <c r="E14" s="21"/>
      <c r="F14" s="21"/>
      <c r="G14" s="21"/>
      <c r="H14" s="35"/>
      <c r="S14" s="1"/>
      <c r="T14" s="1"/>
      <c r="U14" s="2"/>
    </row>
    <row r="15" spans="1:21" x14ac:dyDescent="0.25">
      <c r="A15">
        <v>0.314</v>
      </c>
      <c r="B15">
        <v>50</v>
      </c>
      <c r="C15" s="26">
        <v>0.38700000000000001</v>
      </c>
      <c r="D15" s="22">
        <v>8828</v>
      </c>
      <c r="E15" s="21">
        <f>AVERAGE(C15:C17)</f>
        <v>0.4</v>
      </c>
      <c r="F15" s="21">
        <f>242.45*E15 - 22.248</f>
        <v>74.731999999999999</v>
      </c>
      <c r="G15" s="21">
        <v>74.858035000000001</v>
      </c>
      <c r="H15" s="35">
        <f>AVERAGE(F15:G15)</f>
        <v>74.7950175</v>
      </c>
      <c r="Q15" s="1"/>
      <c r="S15" s="1"/>
      <c r="T15" s="1"/>
      <c r="U15" s="2"/>
    </row>
    <row r="16" spans="1:21" x14ac:dyDescent="0.25">
      <c r="A16">
        <v>0.32300000000000001</v>
      </c>
      <c r="B16">
        <v>50</v>
      </c>
      <c r="C16" s="26">
        <v>0.41299999999999998</v>
      </c>
      <c r="D16" s="22" t="s">
        <v>18</v>
      </c>
      <c r="E16" s="21"/>
      <c r="F16" s="21"/>
      <c r="G16" s="21"/>
      <c r="H16" s="35"/>
      <c r="Q16" s="1"/>
      <c r="S16" s="1"/>
      <c r="T16" s="1"/>
      <c r="U16" s="2"/>
    </row>
    <row r="17" spans="1:21" x14ac:dyDescent="0.25">
      <c r="B17">
        <v>50</v>
      </c>
      <c r="C17" s="26"/>
      <c r="D17" s="23"/>
      <c r="E17" s="21"/>
      <c r="F17" s="21"/>
      <c r="G17" s="21"/>
      <c r="H17" s="35"/>
      <c r="S17" s="1"/>
      <c r="T17" s="1"/>
      <c r="U17" s="2"/>
    </row>
    <row r="18" spans="1:21" x14ac:dyDescent="0.25">
      <c r="A18">
        <v>0.20499999999999999</v>
      </c>
      <c r="B18">
        <v>25</v>
      </c>
      <c r="C18" s="26">
        <v>0.32900000000000001</v>
      </c>
      <c r="D18" s="22">
        <v>8831</v>
      </c>
      <c r="E18" s="21">
        <f>AVERAGE(C18:C20)</f>
        <v>0.3745</v>
      </c>
      <c r="F18" s="21">
        <f>242.45*E18 - 22.248</f>
        <v>68.549524999999988</v>
      </c>
      <c r="G18" s="21">
        <v>76.59675</v>
      </c>
      <c r="H18" s="35">
        <f>AVERAGE(F18:G18)</f>
        <v>72.573137500000001</v>
      </c>
      <c r="Q18" s="1"/>
      <c r="S18" s="1"/>
      <c r="T18" s="1"/>
      <c r="U18" s="2"/>
    </row>
    <row r="19" spans="1:21" ht="13.8" thickBot="1" x14ac:dyDescent="0.3">
      <c r="A19">
        <v>0.20799999999999999</v>
      </c>
      <c r="B19">
        <v>25</v>
      </c>
      <c r="C19" s="26">
        <v>0.42</v>
      </c>
      <c r="D19" s="22" t="s">
        <v>18</v>
      </c>
      <c r="E19" s="21"/>
      <c r="F19" s="21"/>
      <c r="G19" s="21"/>
      <c r="H19" s="35"/>
      <c r="S19" s="1"/>
      <c r="T19" s="1"/>
      <c r="U19" s="2"/>
    </row>
    <row r="20" spans="1:21" ht="13.8" thickBot="1" x14ac:dyDescent="0.3">
      <c r="B20">
        <v>25</v>
      </c>
      <c r="C20" s="26"/>
      <c r="D20" s="23"/>
      <c r="E20" s="21"/>
      <c r="F20" s="21"/>
      <c r="G20" s="21"/>
      <c r="H20" s="35"/>
      <c r="K20" s="53" t="s">
        <v>17</v>
      </c>
      <c r="L20" s="54" t="s">
        <v>13</v>
      </c>
      <c r="N20" s="1"/>
      <c r="S20" s="1"/>
      <c r="T20" s="1"/>
      <c r="U20" s="2"/>
    </row>
    <row r="21" spans="1:21" x14ac:dyDescent="0.25">
      <c r="A21">
        <v>0.14499999999999999</v>
      </c>
      <c r="B21">
        <v>12.5</v>
      </c>
      <c r="C21" s="26">
        <v>0.63</v>
      </c>
      <c r="D21" s="22">
        <v>8830</v>
      </c>
      <c r="E21" s="21"/>
      <c r="F21" s="21"/>
      <c r="G21" s="21"/>
      <c r="H21" s="35"/>
      <c r="J21" s="22" t="s">
        <v>18</v>
      </c>
      <c r="K21">
        <f>AVERAGE(H6:H27)</f>
        <v>90.682663125000005</v>
      </c>
      <c r="L21" s="2">
        <f>STDEV(H7:H27)/SQRT(COUNT(H7:H27))</f>
        <v>5.402457000389691</v>
      </c>
      <c r="N21" s="2"/>
      <c r="O21" s="55"/>
      <c r="S21" s="1"/>
      <c r="T21" s="1"/>
      <c r="U21" s="2"/>
    </row>
    <row r="22" spans="1:21" x14ac:dyDescent="0.25">
      <c r="A22">
        <v>0.13600000000000001</v>
      </c>
      <c r="B22">
        <v>12.5</v>
      </c>
      <c r="C22" s="26">
        <v>0.63200000000000001</v>
      </c>
      <c r="D22" s="22" t="s">
        <v>18</v>
      </c>
      <c r="E22" s="21">
        <f>AVERAGE(C21:C23)</f>
        <v>0.63100000000000001</v>
      </c>
      <c r="F22" s="21">
        <f>242.45*E22 - 22.248</f>
        <v>130.73795000000001</v>
      </c>
      <c r="G22" s="21">
        <v>91.296795000000003</v>
      </c>
      <c r="H22" s="35">
        <f>AVERAGE(F22:G22)</f>
        <v>111.01737250000001</v>
      </c>
      <c r="J22" s="1"/>
      <c r="S22" s="1"/>
      <c r="T22" s="1"/>
      <c r="U22" s="2"/>
    </row>
    <row r="23" spans="1:21" x14ac:dyDescent="0.25">
      <c r="B23">
        <v>12.5</v>
      </c>
      <c r="C23" s="26"/>
      <c r="D23" s="23"/>
      <c r="E23" s="21"/>
      <c r="F23" s="21"/>
      <c r="G23" s="21"/>
      <c r="H23" s="35"/>
      <c r="J23" s="33" t="s">
        <v>19</v>
      </c>
      <c r="K23">
        <f>AVERAGE(H30:H57)</f>
        <v>125.67840699999999</v>
      </c>
      <c r="L23" s="2">
        <f>STDEV(H30:H57)/SQRT(COUNT(H30:H57))</f>
        <v>3.4077488775226357</v>
      </c>
      <c r="N23" s="2"/>
      <c r="O23" s="55"/>
      <c r="S23" s="1"/>
      <c r="T23" s="1"/>
      <c r="U23" s="2"/>
    </row>
    <row r="24" spans="1:21" x14ac:dyDescent="0.25">
      <c r="A24">
        <v>8.5000000000000006E-2</v>
      </c>
      <c r="B24">
        <v>0</v>
      </c>
      <c r="C24" s="26">
        <v>0.54</v>
      </c>
      <c r="D24" s="22">
        <v>8832</v>
      </c>
      <c r="E24" s="21">
        <f>AVERAGE(C24:C26)</f>
        <v>0.53200000000000003</v>
      </c>
      <c r="F24" s="21">
        <f>242.45*E24 - 22.248</f>
        <v>106.73539999999998</v>
      </c>
      <c r="G24" s="21">
        <v>75.490295000000003</v>
      </c>
      <c r="H24" s="35">
        <f>AVERAGE(F24:G24)</f>
        <v>91.112847499999987</v>
      </c>
      <c r="J24" s="56"/>
      <c r="S24" s="1"/>
      <c r="T24" s="1"/>
      <c r="U24" s="2"/>
    </row>
    <row r="25" spans="1:21" x14ac:dyDescent="0.25">
      <c r="A25">
        <v>0.08</v>
      </c>
      <c r="B25">
        <v>0</v>
      </c>
      <c r="C25" s="26">
        <v>0.52400000000000002</v>
      </c>
      <c r="D25" s="22" t="s">
        <v>18</v>
      </c>
      <c r="E25" s="21"/>
      <c r="F25" s="21"/>
      <c r="G25" s="21"/>
      <c r="H25" s="35"/>
      <c r="J25" s="14" t="s">
        <v>20</v>
      </c>
      <c r="K25">
        <f>AVERAGE(H60:H77)</f>
        <v>114.28243124999999</v>
      </c>
      <c r="L25" s="2">
        <f>STDEV(H60:H77)/SQRT(COUNT(H60:H77))</f>
        <v>4.0707871034668468</v>
      </c>
      <c r="N25" s="2"/>
      <c r="O25" s="55"/>
      <c r="S25" s="1"/>
      <c r="T25" s="1"/>
      <c r="U25" s="2"/>
    </row>
    <row r="26" spans="1:21" x14ac:dyDescent="0.25">
      <c r="B26">
        <v>0</v>
      </c>
      <c r="C26" s="26"/>
      <c r="D26" s="23"/>
      <c r="E26" s="21"/>
      <c r="F26" s="21"/>
      <c r="G26" s="21"/>
      <c r="H26" s="35"/>
      <c r="S26" s="1"/>
      <c r="T26" s="1"/>
      <c r="U26" s="2"/>
    </row>
    <row r="27" spans="1:21" x14ac:dyDescent="0.25">
      <c r="C27" s="26">
        <v>0.44600000000000001</v>
      </c>
      <c r="D27" s="22">
        <v>8777</v>
      </c>
      <c r="E27" s="21">
        <f>AVERAGE(C27:C29)</f>
        <v>0.4415</v>
      </c>
      <c r="F27" s="21">
        <f>242.45*E27 - 22.248</f>
        <v>84.793674999999993</v>
      </c>
      <c r="G27" s="21">
        <v>80.232245000000006</v>
      </c>
      <c r="H27" s="35">
        <f>AVERAGE(F27:G27)</f>
        <v>82.512959999999993</v>
      </c>
      <c r="J27" s="12" t="s">
        <v>21</v>
      </c>
      <c r="K27">
        <f>AVERAGE(H78:H99)</f>
        <v>67.417689642857141</v>
      </c>
      <c r="L27" s="2">
        <f>STDEV(H78:H99)/SQRT(COUNT(H78:H99))</f>
        <v>4.4856784536732173</v>
      </c>
      <c r="N27" s="2"/>
      <c r="O27" s="55"/>
      <c r="S27" s="1"/>
      <c r="T27" s="1"/>
      <c r="U27" s="2"/>
    </row>
    <row r="28" spans="1:21" x14ac:dyDescent="0.25">
      <c r="C28" s="26">
        <v>0.437</v>
      </c>
      <c r="D28" s="22" t="s">
        <v>18</v>
      </c>
      <c r="E28" s="21"/>
      <c r="F28" s="21"/>
      <c r="G28" s="21"/>
      <c r="H28" s="35"/>
      <c r="S28" s="1"/>
      <c r="T28" s="1"/>
      <c r="U28" s="2"/>
    </row>
    <row r="29" spans="1:21" ht="13.8" thickBot="1" x14ac:dyDescent="0.3">
      <c r="C29" s="30"/>
      <c r="D29" s="31"/>
      <c r="E29" s="32"/>
      <c r="F29" s="32"/>
      <c r="G29" s="32"/>
      <c r="H29" s="37"/>
      <c r="S29" s="1"/>
      <c r="T29" s="1"/>
      <c r="U29" s="2"/>
    </row>
    <row r="30" spans="1:21" x14ac:dyDescent="0.25">
      <c r="C30" s="24">
        <v>0.6</v>
      </c>
      <c r="D30" s="7">
        <v>8753</v>
      </c>
      <c r="E30" s="25">
        <f>AVERAGE(C30:C32)</f>
        <v>0.5675</v>
      </c>
      <c r="F30" s="25">
        <f>242.45*E30 - 22.248</f>
        <v>115.34237499999999</v>
      </c>
      <c r="G30" s="25">
        <v>130.97111000000001</v>
      </c>
      <c r="H30" s="52">
        <f>AVERAGE(F30:G30)</f>
        <v>123.15674250000001</v>
      </c>
      <c r="S30" s="1"/>
      <c r="T30" s="1"/>
      <c r="U30" s="2"/>
    </row>
    <row r="31" spans="1:21" x14ac:dyDescent="0.25">
      <c r="C31" s="26">
        <v>0.53500000000000003</v>
      </c>
      <c r="D31" s="33" t="s">
        <v>19</v>
      </c>
      <c r="E31" s="21"/>
      <c r="F31" s="21"/>
      <c r="G31" s="21"/>
      <c r="H31" s="35"/>
      <c r="J31" s="51"/>
      <c r="S31" s="1"/>
      <c r="T31" s="1"/>
      <c r="U31" s="2"/>
    </row>
    <row r="32" spans="1:21" x14ac:dyDescent="0.25">
      <c r="C32" s="26"/>
      <c r="D32" s="23"/>
      <c r="E32" s="21"/>
      <c r="F32" s="21"/>
      <c r="G32" s="21"/>
      <c r="H32" s="35"/>
      <c r="S32" s="1"/>
      <c r="T32" s="1"/>
      <c r="U32" s="2"/>
    </row>
    <row r="33" spans="3:21" x14ac:dyDescent="0.25">
      <c r="C33" s="26">
        <v>0.67900000000000005</v>
      </c>
      <c r="D33" s="33">
        <v>8912</v>
      </c>
      <c r="E33" s="21">
        <f>AVERAGE(C33:C35)</f>
        <v>0.62000000000000011</v>
      </c>
      <c r="F33" s="21">
        <f>242.45*E33 - 22.248</f>
        <v>128.07100000000003</v>
      </c>
      <c r="G33" s="21">
        <v>121.17108000000002</v>
      </c>
      <c r="H33" s="35">
        <f>AVERAGE(F33:G33)</f>
        <v>124.62104000000002</v>
      </c>
      <c r="S33" s="1"/>
      <c r="T33" s="1"/>
      <c r="U33" s="2"/>
    </row>
    <row r="34" spans="3:21" x14ac:dyDescent="0.25">
      <c r="C34" s="26">
        <v>0.56100000000000005</v>
      </c>
      <c r="D34" s="33" t="s">
        <v>19</v>
      </c>
      <c r="E34" s="21"/>
      <c r="F34" s="21"/>
      <c r="G34" s="21"/>
      <c r="H34" s="35"/>
      <c r="S34" s="1"/>
      <c r="T34" s="1"/>
      <c r="U34" s="2"/>
    </row>
    <row r="35" spans="3:21" x14ac:dyDescent="0.25">
      <c r="C35" s="26"/>
      <c r="D35" s="23"/>
      <c r="E35" s="21"/>
      <c r="F35" s="21"/>
      <c r="G35" s="21"/>
      <c r="H35" s="35"/>
      <c r="S35" s="1"/>
      <c r="T35" s="1"/>
      <c r="U35" s="2"/>
    </row>
    <row r="36" spans="3:21" x14ac:dyDescent="0.25">
      <c r="C36" s="26">
        <v>0.70899999999999996</v>
      </c>
      <c r="D36" s="33">
        <v>8610</v>
      </c>
      <c r="E36" s="21">
        <f>AVERAGE(C36:C38)</f>
        <v>0.72249999999999992</v>
      </c>
      <c r="F36" s="21">
        <f>242.45*E36 - 22.248</f>
        <v>152.92212499999999</v>
      </c>
      <c r="G36" s="21">
        <v>125.43883499999998</v>
      </c>
      <c r="H36" s="35">
        <f>AVERAGE(F36:G36)</f>
        <v>139.18047999999999</v>
      </c>
      <c r="S36" s="1"/>
      <c r="T36" s="1"/>
      <c r="U36" s="2"/>
    </row>
    <row r="37" spans="3:21" x14ac:dyDescent="0.25">
      <c r="C37" s="26">
        <v>0.73599999999999999</v>
      </c>
      <c r="D37" s="33" t="s">
        <v>19</v>
      </c>
      <c r="E37" s="21"/>
      <c r="F37" s="21"/>
      <c r="G37" s="21"/>
      <c r="H37" s="35"/>
      <c r="S37" s="1"/>
      <c r="T37" s="1"/>
      <c r="U37" s="2"/>
    </row>
    <row r="38" spans="3:21" x14ac:dyDescent="0.25">
      <c r="C38" s="26"/>
      <c r="D38" s="23"/>
      <c r="E38" s="21"/>
      <c r="F38" s="21"/>
      <c r="G38" s="21"/>
      <c r="H38" s="35"/>
      <c r="S38" s="1"/>
      <c r="T38" s="1"/>
      <c r="U38" s="2"/>
    </row>
    <row r="39" spans="3:21" x14ac:dyDescent="0.25">
      <c r="C39" s="26">
        <v>0.56999999999999995</v>
      </c>
      <c r="D39" s="33">
        <v>8778</v>
      </c>
      <c r="E39" s="21">
        <f>AVERAGE(C39:C41)</f>
        <v>0.56799999999999995</v>
      </c>
      <c r="F39" s="21">
        <f>242.45*E39 - 22.248</f>
        <v>115.46359999999997</v>
      </c>
      <c r="G39" s="21">
        <v>127.80981</v>
      </c>
      <c r="H39" s="35">
        <f>AVERAGE(F39:G39)</f>
        <v>121.63670499999998</v>
      </c>
      <c r="S39" s="1"/>
      <c r="T39" s="1"/>
      <c r="U39" s="2"/>
    </row>
    <row r="40" spans="3:21" x14ac:dyDescent="0.25">
      <c r="C40" s="26">
        <v>0.56599999999999995</v>
      </c>
      <c r="D40" s="33" t="s">
        <v>19</v>
      </c>
      <c r="E40" s="21"/>
      <c r="F40" s="21"/>
      <c r="G40" s="21"/>
      <c r="H40" s="35"/>
      <c r="Q40" s="1"/>
      <c r="S40" s="1"/>
      <c r="T40" s="1"/>
      <c r="U40" s="2"/>
    </row>
    <row r="41" spans="3:21" x14ac:dyDescent="0.25">
      <c r="C41" s="26"/>
      <c r="D41" s="23"/>
      <c r="E41" s="21"/>
      <c r="F41" s="21"/>
      <c r="G41" s="21"/>
      <c r="H41" s="35"/>
      <c r="S41" s="1"/>
      <c r="T41" s="1"/>
      <c r="U41" s="2"/>
    </row>
    <row r="42" spans="3:21" x14ac:dyDescent="0.25">
      <c r="C42" s="26">
        <v>0.54700000000000004</v>
      </c>
      <c r="D42" s="33">
        <v>8663</v>
      </c>
      <c r="E42" s="21">
        <f>AVERAGE(C42:C44)</f>
        <v>0.53249999999999997</v>
      </c>
      <c r="F42" s="21">
        <f>242.45*E42 - 22.248</f>
        <v>106.85662499999999</v>
      </c>
      <c r="G42" s="21">
        <v>111.37105</v>
      </c>
      <c r="H42" s="35">
        <f>AVERAGE(F42:G42)</f>
        <v>109.11383749999999</v>
      </c>
      <c r="Q42" s="1"/>
      <c r="S42" s="1"/>
      <c r="T42" s="1"/>
      <c r="U42" s="2"/>
    </row>
    <row r="43" spans="3:21" x14ac:dyDescent="0.25">
      <c r="C43" s="26">
        <v>0.51800000000000002</v>
      </c>
      <c r="D43" s="33" t="s">
        <v>19</v>
      </c>
      <c r="E43" s="21"/>
      <c r="F43" s="21"/>
      <c r="G43" s="21"/>
      <c r="H43" s="35"/>
      <c r="S43" s="1"/>
      <c r="T43" s="1"/>
      <c r="U43" s="2"/>
    </row>
    <row r="44" spans="3:21" x14ac:dyDescent="0.25">
      <c r="C44" s="26"/>
      <c r="D44" s="23"/>
      <c r="E44" s="21"/>
      <c r="F44" s="21"/>
      <c r="G44" s="21"/>
      <c r="H44" s="35"/>
    </row>
    <row r="45" spans="3:21" x14ac:dyDescent="0.25">
      <c r="C45" s="26">
        <v>0.55900000000000005</v>
      </c>
      <c r="D45" s="33">
        <v>8825</v>
      </c>
      <c r="E45" s="21">
        <f>AVERAGE(C45:C47)</f>
        <v>0.59299999999999997</v>
      </c>
      <c r="F45" s="21">
        <f>242.45*E45 - 22.248</f>
        <v>121.52484999999997</v>
      </c>
      <c r="G45" s="21">
        <v>124.01624999999999</v>
      </c>
      <c r="H45" s="35">
        <f>AVERAGE(F45:G45)</f>
        <v>122.77054999999999</v>
      </c>
    </row>
    <row r="46" spans="3:21" x14ac:dyDescent="0.25">
      <c r="C46" s="26">
        <v>0.627</v>
      </c>
      <c r="D46" s="33" t="s">
        <v>19</v>
      </c>
      <c r="E46" s="21"/>
      <c r="F46" s="21"/>
      <c r="G46" s="21"/>
      <c r="H46" s="35"/>
    </row>
    <row r="47" spans="3:21" x14ac:dyDescent="0.25">
      <c r="C47" s="26"/>
      <c r="D47" s="23"/>
      <c r="E47" s="21"/>
      <c r="F47" s="21"/>
      <c r="G47" s="21"/>
      <c r="H47" s="35"/>
    </row>
    <row r="48" spans="3:21" x14ac:dyDescent="0.25">
      <c r="C48" s="26">
        <v>0.69899999999999995</v>
      </c>
      <c r="D48" s="33">
        <v>8649</v>
      </c>
      <c r="E48" s="21">
        <f>AVERAGE(C48:C50)</f>
        <v>0.66500000000000004</v>
      </c>
      <c r="F48" s="21">
        <f>242.45*E48 - 22.248</f>
        <v>138.98125000000002</v>
      </c>
      <c r="G48" s="21">
        <v>153.57440500000001</v>
      </c>
      <c r="H48" s="35">
        <f>AVERAGE(F48:G48)</f>
        <v>146.2778275</v>
      </c>
    </row>
    <row r="49" spans="2:18" x14ac:dyDescent="0.25">
      <c r="C49" s="26">
        <v>0.63100000000000001</v>
      </c>
      <c r="D49" s="33" t="s">
        <v>19</v>
      </c>
      <c r="E49" s="21"/>
      <c r="F49" s="21"/>
      <c r="G49" s="21"/>
      <c r="H49" s="35"/>
    </row>
    <row r="50" spans="2:18" x14ac:dyDescent="0.25">
      <c r="C50" s="26"/>
      <c r="D50" s="23"/>
      <c r="E50" s="21"/>
      <c r="F50" s="21"/>
      <c r="G50" s="21"/>
      <c r="H50" s="35"/>
    </row>
    <row r="51" spans="2:18" x14ac:dyDescent="0.25">
      <c r="C51" s="26">
        <v>0.54100000000000004</v>
      </c>
      <c r="D51" s="33">
        <v>8621</v>
      </c>
      <c r="E51" s="21">
        <f>AVERAGE(C51:C53)</f>
        <v>0.54800000000000004</v>
      </c>
      <c r="F51" s="21">
        <f>242.45*E51 - 22.248</f>
        <v>110.61460000000001</v>
      </c>
      <c r="G51" s="21">
        <v>119.74849499999999</v>
      </c>
      <c r="H51" s="35">
        <f>AVERAGE(F51:G51)</f>
        <v>115.18154749999999</v>
      </c>
    </row>
    <row r="52" spans="2:18" x14ac:dyDescent="0.25">
      <c r="B52" t="s">
        <v>0</v>
      </c>
      <c r="C52" s="26">
        <v>0.55500000000000005</v>
      </c>
      <c r="D52" s="33" t="s">
        <v>19</v>
      </c>
      <c r="E52" s="21"/>
      <c r="F52" s="21"/>
      <c r="G52" s="21"/>
      <c r="H52" s="35"/>
      <c r="R52" s="3"/>
    </row>
    <row r="53" spans="2:18" x14ac:dyDescent="0.25">
      <c r="C53" s="26"/>
      <c r="D53" s="23"/>
      <c r="E53" s="21"/>
      <c r="F53" s="21"/>
      <c r="G53" s="21"/>
      <c r="H53" s="35"/>
      <c r="K53" s="1"/>
      <c r="L53" s="1"/>
      <c r="M53" s="1"/>
      <c r="O53" s="1"/>
      <c r="P53" s="1"/>
      <c r="Q53" s="1"/>
    </row>
    <row r="54" spans="2:18" x14ac:dyDescent="0.25">
      <c r="C54" s="26">
        <v>0.71</v>
      </c>
      <c r="D54" s="33">
        <v>8424</v>
      </c>
      <c r="E54" s="21">
        <f>AVERAGE(C54:C56)</f>
        <v>0.68700000000000006</v>
      </c>
      <c r="F54" s="21">
        <f>242.45*E54 - 22.248</f>
        <v>144.31515000000002</v>
      </c>
      <c r="G54" s="21">
        <v>116.113</v>
      </c>
      <c r="H54" s="35">
        <f>AVERAGE(F54:G54)</f>
        <v>130.21407500000001</v>
      </c>
      <c r="J54" s="1"/>
      <c r="K54" s="1"/>
      <c r="L54" s="1"/>
      <c r="M54" s="1"/>
      <c r="N54" s="1"/>
      <c r="O54" s="1"/>
      <c r="P54" s="1"/>
      <c r="Q54" s="1"/>
    </row>
    <row r="55" spans="2:18" x14ac:dyDescent="0.25">
      <c r="C55" s="26">
        <v>0.66400000000000003</v>
      </c>
      <c r="D55" s="33" t="s">
        <v>19</v>
      </c>
      <c r="E55" s="21"/>
      <c r="F55" s="21"/>
      <c r="G55" s="21"/>
      <c r="H55" s="35"/>
      <c r="J55" s="1"/>
      <c r="K55" s="1"/>
      <c r="L55" s="1"/>
      <c r="M55" s="1"/>
      <c r="N55" s="1"/>
      <c r="O55" s="1"/>
      <c r="P55" s="1"/>
      <c r="Q55" s="1"/>
    </row>
    <row r="56" spans="2:18" x14ac:dyDescent="0.25">
      <c r="C56" s="26"/>
      <c r="D56" s="23"/>
      <c r="E56" s="21"/>
      <c r="F56" s="21"/>
      <c r="G56" s="21"/>
      <c r="H56" s="35"/>
      <c r="J56" s="1"/>
      <c r="K56" s="1"/>
      <c r="L56" s="1"/>
      <c r="M56" s="1"/>
      <c r="N56" s="1"/>
    </row>
    <row r="57" spans="2:18" x14ac:dyDescent="0.25">
      <c r="C57" s="26">
        <v>0.68400000000000005</v>
      </c>
      <c r="D57" s="33">
        <v>8779</v>
      </c>
      <c r="E57" s="21">
        <f>AVERAGE(C57:C59)</f>
        <v>0.67549999999999999</v>
      </c>
      <c r="F57" s="21">
        <f>242.45*E57 - 22.248</f>
        <v>141.52697499999999</v>
      </c>
      <c r="G57" s="21">
        <v>107.73555500000001</v>
      </c>
      <c r="H57" s="35">
        <f>AVERAGE(F57:G57)</f>
        <v>124.631265</v>
      </c>
    </row>
    <row r="58" spans="2:18" x14ac:dyDescent="0.25">
      <c r="C58" s="26">
        <v>0.66700000000000004</v>
      </c>
      <c r="D58" s="33" t="s">
        <v>19</v>
      </c>
      <c r="E58" s="21"/>
      <c r="F58" s="21"/>
      <c r="G58" s="21"/>
      <c r="H58" s="35"/>
      <c r="K58" s="51"/>
    </row>
    <row r="59" spans="2:18" ht="13.8" thickBot="1" x14ac:dyDescent="0.3">
      <c r="C59" s="30"/>
      <c r="D59" s="31"/>
      <c r="E59" s="32"/>
      <c r="F59" s="32"/>
      <c r="G59" s="32"/>
      <c r="H59" s="37"/>
      <c r="K59" s="1"/>
    </row>
    <row r="60" spans="2:18" x14ac:dyDescent="0.25">
      <c r="C60" s="24">
        <v>0.46600000000000003</v>
      </c>
      <c r="D60" s="20">
        <v>8738</v>
      </c>
      <c r="E60" s="25">
        <f>AVERAGE(C60:C62)</f>
        <v>0.47799999999999998</v>
      </c>
      <c r="F60" s="25">
        <f>242.45*E60 - 22.248</f>
        <v>93.64309999999999</v>
      </c>
      <c r="G60" s="25">
        <v>124.49044499999999</v>
      </c>
      <c r="H60" s="52">
        <f>AVERAGE(F60:G60)</f>
        <v>109.06677249999998</v>
      </c>
      <c r="K60" s="1"/>
    </row>
    <row r="61" spans="2:18" x14ac:dyDescent="0.25">
      <c r="C61" s="26">
        <v>0.49</v>
      </c>
      <c r="D61" s="14" t="s">
        <v>20</v>
      </c>
      <c r="E61" s="21"/>
      <c r="F61" s="21"/>
      <c r="G61" s="21"/>
      <c r="H61" s="35"/>
      <c r="K61" s="51"/>
    </row>
    <row r="62" spans="2:18" x14ac:dyDescent="0.25">
      <c r="C62" s="26"/>
      <c r="D62" s="23"/>
      <c r="E62" s="21"/>
      <c r="F62" s="21"/>
      <c r="G62" s="21"/>
      <c r="H62" s="35"/>
      <c r="K62" s="1"/>
    </row>
    <row r="63" spans="2:18" x14ac:dyDescent="0.25">
      <c r="C63" s="26">
        <v>0.66</v>
      </c>
      <c r="D63" s="14">
        <v>3471</v>
      </c>
      <c r="E63" s="21">
        <f>AVERAGE(C63:C65)</f>
        <v>0.63149999999999995</v>
      </c>
      <c r="F63" s="21">
        <f>242.45*E63 - 22.248</f>
        <v>130.85917499999999</v>
      </c>
      <c r="G63" s="21">
        <v>107.89362</v>
      </c>
      <c r="H63" s="35">
        <f>AVERAGE(F63:G63)</f>
        <v>119.3763975</v>
      </c>
      <c r="K63" s="1"/>
    </row>
    <row r="64" spans="2:18" x14ac:dyDescent="0.25">
      <c r="C64" s="26">
        <v>0.60299999999999998</v>
      </c>
      <c r="D64" s="14" t="s">
        <v>20</v>
      </c>
      <c r="E64" s="21"/>
      <c r="F64" s="21"/>
      <c r="G64" s="21"/>
      <c r="H64" s="35"/>
    </row>
    <row r="65" spans="3:9" x14ac:dyDescent="0.25">
      <c r="C65" s="26"/>
      <c r="D65" s="23"/>
      <c r="E65" s="21"/>
      <c r="F65" s="21"/>
      <c r="G65" s="21"/>
      <c r="H65" s="35"/>
    </row>
    <row r="66" spans="3:9" x14ac:dyDescent="0.25">
      <c r="C66" s="26">
        <v>0.53400000000000003</v>
      </c>
      <c r="D66" s="14">
        <v>3473</v>
      </c>
      <c r="E66" s="21"/>
      <c r="F66" s="21"/>
      <c r="G66" s="21"/>
      <c r="H66" s="35"/>
    </row>
    <row r="67" spans="3:9" x14ac:dyDescent="0.25">
      <c r="C67" s="26">
        <v>0.49199999999999999</v>
      </c>
      <c r="D67" s="14" t="s">
        <v>20</v>
      </c>
      <c r="E67" s="21">
        <f>AVERAGE(C66:C68)</f>
        <v>0.51300000000000001</v>
      </c>
      <c r="F67" s="21">
        <f>242.45*E67 - 22.248</f>
        <v>102.12884999999999</v>
      </c>
      <c r="G67" s="21">
        <v>107.89362</v>
      </c>
      <c r="H67" s="35">
        <f>AVERAGE(F67:G67)</f>
        <v>105.011235</v>
      </c>
    </row>
    <row r="68" spans="3:9" x14ac:dyDescent="0.25">
      <c r="C68" s="26"/>
      <c r="D68" s="23"/>
      <c r="E68" s="21"/>
      <c r="F68" s="21"/>
      <c r="G68" s="21"/>
      <c r="H68" s="35"/>
    </row>
    <row r="69" spans="3:9" x14ac:dyDescent="0.25">
      <c r="C69" s="26">
        <v>0.64</v>
      </c>
      <c r="D69" s="14">
        <v>3335</v>
      </c>
      <c r="E69" s="21">
        <f>AVERAGE(C69:C71)</f>
        <v>0.65100000000000002</v>
      </c>
      <c r="F69" s="21">
        <f>242.45*E69 - 22.248</f>
        <v>135.58695</v>
      </c>
      <c r="G69" s="21">
        <v>124.01625000000001</v>
      </c>
      <c r="H69" s="35">
        <f>AVERAGE(F69:G69)</f>
        <v>129.80160000000001</v>
      </c>
    </row>
    <row r="70" spans="3:9" x14ac:dyDescent="0.25">
      <c r="C70" s="26">
        <v>0.66200000000000003</v>
      </c>
      <c r="D70" s="14" t="s">
        <v>20</v>
      </c>
      <c r="E70" s="21"/>
      <c r="F70" s="21"/>
      <c r="G70" s="21"/>
      <c r="H70" s="35"/>
    </row>
    <row r="71" spans="3:9" x14ac:dyDescent="0.25">
      <c r="C71" s="26"/>
      <c r="D71" s="23"/>
      <c r="E71" s="21"/>
      <c r="F71" s="21"/>
      <c r="G71" s="21"/>
      <c r="H71" s="35"/>
    </row>
    <row r="72" spans="3:9" x14ac:dyDescent="0.25">
      <c r="C72" s="26">
        <v>0.48699999999999999</v>
      </c>
      <c r="D72" s="14">
        <v>3447</v>
      </c>
      <c r="E72" s="21">
        <f>AVERAGE(C72:C74)</f>
        <v>0.49199999999999999</v>
      </c>
      <c r="F72" s="21">
        <f>242.45*E72 - 22.248</f>
        <v>97.037399999999991</v>
      </c>
      <c r="G72" s="57">
        <v>111.37105</v>
      </c>
      <c r="H72" s="35">
        <f>AVERAGE(F72:G72)</f>
        <v>104.20422499999999</v>
      </c>
    </row>
    <row r="73" spans="3:9" x14ac:dyDescent="0.25">
      <c r="C73" s="26">
        <v>0.497</v>
      </c>
      <c r="D73" s="14" t="s">
        <v>20</v>
      </c>
      <c r="E73" s="21"/>
      <c r="F73" s="21"/>
      <c r="G73" s="57"/>
      <c r="H73" s="58"/>
    </row>
    <row r="74" spans="3:9" x14ac:dyDescent="0.25">
      <c r="C74" s="26"/>
      <c r="D74" s="23"/>
      <c r="E74" s="21"/>
      <c r="F74" s="21"/>
      <c r="G74" s="57"/>
      <c r="H74" s="58"/>
    </row>
    <row r="75" spans="3:9" x14ac:dyDescent="0.25">
      <c r="C75" s="26">
        <v>0.66200000000000003</v>
      </c>
      <c r="D75" s="14">
        <v>3467</v>
      </c>
      <c r="E75" s="21">
        <f>AVERAGE(C75:C77)</f>
        <v>0.66250000000000009</v>
      </c>
      <c r="F75" s="21">
        <f>242.45*E75 - 22.248</f>
        <v>138.37512500000003</v>
      </c>
      <c r="G75" s="57">
        <v>98.093590000000006</v>
      </c>
      <c r="H75" s="35">
        <f>AVERAGE(F75:G75)</f>
        <v>118.23435750000002</v>
      </c>
    </row>
    <row r="76" spans="3:9" x14ac:dyDescent="0.25">
      <c r="C76" s="26">
        <v>0.66300000000000003</v>
      </c>
      <c r="D76" s="14" t="s">
        <v>20</v>
      </c>
      <c r="E76" s="21"/>
      <c r="F76" s="21"/>
      <c r="G76" s="57"/>
      <c r="H76" s="58"/>
    </row>
    <row r="77" spans="3:9" ht="13.8" thickBot="1" x14ac:dyDescent="0.3">
      <c r="C77" s="30"/>
      <c r="D77" s="31"/>
      <c r="E77" s="32"/>
      <c r="F77" s="32"/>
      <c r="G77" s="59"/>
      <c r="H77" s="60"/>
    </row>
    <row r="78" spans="3:9" x14ac:dyDescent="0.25">
      <c r="C78" s="24">
        <v>0.432</v>
      </c>
      <c r="D78" s="11"/>
      <c r="E78" s="25">
        <f>AVERAGE(C78:C80)</f>
        <v>0.42649999999999999</v>
      </c>
      <c r="F78" s="25">
        <f>316.13*E78 - 41.952</f>
        <v>92.877444999999994</v>
      </c>
      <c r="G78" s="61">
        <v>45.457944999999995</v>
      </c>
      <c r="H78" s="52">
        <f>AVERAGE(F78:G78)</f>
        <v>69.167694999999995</v>
      </c>
      <c r="I78" s="55"/>
    </row>
    <row r="79" spans="3:9" x14ac:dyDescent="0.25">
      <c r="C79" s="26">
        <v>0.42099999999999999</v>
      </c>
      <c r="D79" s="12" t="s">
        <v>22</v>
      </c>
      <c r="E79" s="21"/>
      <c r="F79" s="21"/>
      <c r="G79" s="21"/>
      <c r="H79" s="35"/>
      <c r="I79" s="55"/>
    </row>
    <row r="80" spans="3:9" x14ac:dyDescent="0.25">
      <c r="C80" s="26"/>
      <c r="D80" s="23"/>
      <c r="E80" s="21"/>
      <c r="F80" s="21"/>
      <c r="G80" s="21"/>
      <c r="H80" s="35"/>
      <c r="I80" s="55"/>
    </row>
    <row r="81" spans="3:9" x14ac:dyDescent="0.25">
      <c r="C81" s="26">
        <v>0.38200000000000001</v>
      </c>
      <c r="D81" s="12"/>
      <c r="E81" s="21">
        <f>AVERAGE(C81:C83)</f>
        <v>0.3735</v>
      </c>
      <c r="F81" s="21">
        <f>316.13*E81 - 41.952</f>
        <v>76.122555000000006</v>
      </c>
      <c r="G81" s="21">
        <v>54.309584999999998</v>
      </c>
      <c r="H81" s="35">
        <f>AVERAGE(F81:G81)</f>
        <v>65.216070000000002</v>
      </c>
      <c r="I81" s="55"/>
    </row>
    <row r="82" spans="3:9" x14ac:dyDescent="0.25">
      <c r="C82" s="26">
        <v>0.36499999999999999</v>
      </c>
      <c r="D82" s="12" t="s">
        <v>22</v>
      </c>
      <c r="E82" s="21"/>
      <c r="F82" s="21"/>
      <c r="G82" s="21"/>
      <c r="H82" s="35"/>
      <c r="I82" s="55"/>
    </row>
    <row r="83" spans="3:9" x14ac:dyDescent="0.25">
      <c r="C83" s="26"/>
      <c r="D83" s="23"/>
      <c r="E83" s="21"/>
      <c r="F83" s="21"/>
      <c r="G83" s="21"/>
      <c r="H83" s="35"/>
      <c r="I83" s="55"/>
    </row>
    <row r="84" spans="3:9" x14ac:dyDescent="0.25">
      <c r="C84" s="26">
        <v>0.311</v>
      </c>
      <c r="D84" s="12"/>
      <c r="E84" s="21">
        <f>AVERAGE(C84:C86)</f>
        <v>0.31900000000000001</v>
      </c>
      <c r="F84" s="21">
        <f>316.13*E84 - 41.952</f>
        <v>58.893470000000008</v>
      </c>
      <c r="G84" s="21">
        <v>45.616010000000003</v>
      </c>
      <c r="H84" s="35">
        <f>AVERAGE(F84:G84)</f>
        <v>52.254740000000005</v>
      </c>
      <c r="I84" s="55"/>
    </row>
    <row r="85" spans="3:9" x14ac:dyDescent="0.25">
      <c r="C85" s="26">
        <v>0.32700000000000001</v>
      </c>
      <c r="D85" s="12" t="s">
        <v>22</v>
      </c>
      <c r="E85" s="21"/>
      <c r="F85" s="21"/>
      <c r="G85" s="21"/>
      <c r="H85" s="35"/>
    </row>
    <row r="86" spans="3:9" x14ac:dyDescent="0.25">
      <c r="C86" s="26"/>
      <c r="D86" s="23"/>
      <c r="E86" s="21"/>
      <c r="F86" s="21"/>
      <c r="G86" s="21"/>
      <c r="H86" s="35"/>
    </row>
    <row r="87" spans="3:9" x14ac:dyDescent="0.25">
      <c r="C87" s="26">
        <v>0.38</v>
      </c>
      <c r="D87" s="12"/>
      <c r="E87" s="21">
        <f>AVERAGE(C87:C89)</f>
        <v>0.373</v>
      </c>
      <c r="F87" s="21">
        <f>316.13*E87 - 41.952</f>
        <v>75.964489999999998</v>
      </c>
      <c r="G87" s="21">
        <v>55.257975000000002</v>
      </c>
      <c r="H87" s="35">
        <f>AVERAGE(F87:G87)</f>
        <v>65.6112325</v>
      </c>
    </row>
    <row r="88" spans="3:9" x14ac:dyDescent="0.25">
      <c r="C88" s="26">
        <v>0.36599999999999999</v>
      </c>
      <c r="D88" s="12" t="s">
        <v>22</v>
      </c>
      <c r="E88" s="21"/>
      <c r="F88" s="21"/>
      <c r="G88" s="21"/>
      <c r="H88" s="35"/>
    </row>
    <row r="89" spans="3:9" x14ac:dyDescent="0.25">
      <c r="C89" s="26"/>
      <c r="D89" s="23"/>
      <c r="E89" s="21"/>
      <c r="F89" s="21"/>
      <c r="G89" s="21"/>
      <c r="H89" s="35"/>
    </row>
    <row r="90" spans="3:9" x14ac:dyDescent="0.25">
      <c r="C90" s="26">
        <v>0.45100000000000001</v>
      </c>
      <c r="D90" s="12"/>
      <c r="E90" s="21">
        <f>AVERAGE(C90:C92)</f>
        <v>0.438</v>
      </c>
      <c r="F90" s="21">
        <f>316.13*E90 - 41.952</f>
        <v>96.512939999999986</v>
      </c>
      <c r="G90" s="21">
        <v>82.287090000000006</v>
      </c>
      <c r="H90" s="35">
        <f>AVERAGE(F90:G90)</f>
        <v>89.400014999999996</v>
      </c>
    </row>
    <row r="91" spans="3:9" x14ac:dyDescent="0.25">
      <c r="C91" s="26">
        <v>0.42499999999999999</v>
      </c>
      <c r="D91" s="12" t="s">
        <v>22</v>
      </c>
      <c r="E91" s="21"/>
      <c r="F91" s="21"/>
      <c r="G91" s="21"/>
      <c r="H91" s="35"/>
    </row>
    <row r="92" spans="3:9" x14ac:dyDescent="0.25">
      <c r="C92" s="26"/>
      <c r="D92" s="23"/>
      <c r="E92" s="21"/>
      <c r="F92" s="21"/>
      <c r="G92" s="21"/>
      <c r="H92" s="35"/>
    </row>
    <row r="93" spans="3:9" x14ac:dyDescent="0.25">
      <c r="C93" s="26">
        <v>0.39800000000000002</v>
      </c>
      <c r="D93" s="12"/>
      <c r="E93" s="21">
        <f>AVERAGE(C93:C95)</f>
        <v>0.38700000000000001</v>
      </c>
      <c r="F93" s="21">
        <f>316.13*E93 - 41.952</f>
        <v>80.390309999999999</v>
      </c>
      <c r="G93" s="21">
        <v>64.741875000000007</v>
      </c>
      <c r="H93" s="35">
        <f>AVERAGE(F93:G93)</f>
        <v>72.566092499999996</v>
      </c>
    </row>
    <row r="94" spans="3:9" x14ac:dyDescent="0.25">
      <c r="C94" s="26">
        <v>0.376</v>
      </c>
      <c r="D94" s="12" t="s">
        <v>22</v>
      </c>
      <c r="E94" s="21"/>
      <c r="F94" s="21"/>
      <c r="G94" s="21"/>
      <c r="H94" s="35"/>
    </row>
    <row r="95" spans="3:9" x14ac:dyDescent="0.25">
      <c r="C95" s="26"/>
      <c r="D95" s="23"/>
      <c r="E95" s="21"/>
      <c r="F95" s="21"/>
      <c r="G95" s="21"/>
      <c r="H95" s="35"/>
    </row>
    <row r="96" spans="3:9" x14ac:dyDescent="0.25">
      <c r="C96" s="26">
        <v>0.34499999999999997</v>
      </c>
      <c r="D96" s="12"/>
      <c r="E96" s="21">
        <f>AVERAGE(C96:C98)</f>
        <v>0.34649999999999997</v>
      </c>
      <c r="F96" s="21">
        <f>316.13*E96 - 41.952</f>
        <v>67.587044999999989</v>
      </c>
      <c r="G96" s="21">
        <v>47.828920000000011</v>
      </c>
      <c r="H96" s="35">
        <f>AVERAGE(F96:G96)</f>
        <v>57.7079825</v>
      </c>
    </row>
    <row r="97" spans="3:8" x14ac:dyDescent="0.25">
      <c r="C97" s="26">
        <v>0.34799999999999998</v>
      </c>
      <c r="D97" s="12" t="s">
        <v>22</v>
      </c>
      <c r="E97" s="21"/>
      <c r="F97" s="21"/>
      <c r="G97" s="21"/>
      <c r="H97" s="35"/>
    </row>
    <row r="98" spans="3:8" x14ac:dyDescent="0.25">
      <c r="C98" s="26"/>
      <c r="D98" s="23"/>
      <c r="E98" s="21"/>
      <c r="F98" s="21"/>
      <c r="G98" s="21"/>
      <c r="H98" s="35"/>
    </row>
    <row r="99" spans="3:8" x14ac:dyDescent="0.25">
      <c r="C99" s="26">
        <v>0.40300000000000002</v>
      </c>
      <c r="D99" s="12"/>
      <c r="E99" s="21">
        <f>AVERAGE(C99:C101)</f>
        <v>0.41849999999999998</v>
      </c>
      <c r="F99" s="21">
        <f>316.13*E99 - 41.952</f>
        <v>90.348404999999985</v>
      </c>
      <c r="G99" s="21"/>
      <c r="H99" s="35"/>
    </row>
    <row r="100" spans="3:8" x14ac:dyDescent="0.25">
      <c r="C100" s="26">
        <v>0.434</v>
      </c>
      <c r="D100" s="12" t="s">
        <v>22</v>
      </c>
      <c r="E100" s="21"/>
      <c r="F100" s="21"/>
      <c r="G100" s="21"/>
      <c r="H100" s="35"/>
    </row>
    <row r="101" spans="3:8" ht="13.8" thickBot="1" x14ac:dyDescent="0.3">
      <c r="C101" s="27"/>
      <c r="D101" s="28"/>
      <c r="E101" s="29"/>
      <c r="F101" s="29"/>
      <c r="G101" s="29"/>
      <c r="H101" s="36"/>
    </row>
    <row r="102" spans="3:8" x14ac:dyDescent="0.25">
      <c r="D102" s="51"/>
    </row>
    <row r="103" spans="3:8" x14ac:dyDescent="0.25">
      <c r="D103" s="1"/>
    </row>
    <row r="104" spans="3:8" x14ac:dyDescent="0.25">
      <c r="D104" s="1"/>
    </row>
    <row r="105" spans="3:8" x14ac:dyDescent="0.25">
      <c r="D105" s="51"/>
    </row>
    <row r="106" spans="3:8" x14ac:dyDescent="0.25">
      <c r="D106" s="1"/>
    </row>
    <row r="107" spans="3:8" x14ac:dyDescent="0.25">
      <c r="D107" s="1"/>
    </row>
    <row r="108" spans="3:8" x14ac:dyDescent="0.25">
      <c r="D108" s="51"/>
    </row>
    <row r="109" spans="3:8" x14ac:dyDescent="0.25">
      <c r="D109" s="1"/>
    </row>
    <row r="110" spans="3:8" x14ac:dyDescent="0.25">
      <c r="D110" s="1"/>
    </row>
    <row r="111" spans="3:8" x14ac:dyDescent="0.25">
      <c r="D111" s="51"/>
    </row>
    <row r="112" spans="3:8" x14ac:dyDescent="0.25">
      <c r="D112" s="1"/>
    </row>
    <row r="113" spans="4:4" x14ac:dyDescent="0.25">
      <c r="D113" s="1"/>
    </row>
    <row r="114" spans="4:4" x14ac:dyDescent="0.25">
      <c r="D114" s="51"/>
    </row>
    <row r="115" spans="4:4" x14ac:dyDescent="0.25">
      <c r="D115" s="1"/>
    </row>
    <row r="116" spans="4:4" x14ac:dyDescent="0.25">
      <c r="D116" s="1"/>
    </row>
    <row r="117" spans="4:4" x14ac:dyDescent="0.25">
      <c r="D117" s="51"/>
    </row>
    <row r="118" spans="4:4" x14ac:dyDescent="0.25">
      <c r="D118" s="1"/>
    </row>
    <row r="119" spans="4:4" x14ac:dyDescent="0.25">
      <c r="D119" s="1"/>
    </row>
    <row r="120" spans="4:4" x14ac:dyDescent="0.25">
      <c r="D120" s="51"/>
    </row>
    <row r="121" spans="4:4" x14ac:dyDescent="0.25">
      <c r="D121" s="1"/>
    </row>
    <row r="122" spans="4:4" x14ac:dyDescent="0.25">
      <c r="D122" s="1"/>
    </row>
    <row r="123" spans="4:4" x14ac:dyDescent="0.25">
      <c r="D123" s="51"/>
    </row>
    <row r="124" spans="4:4" x14ac:dyDescent="0.25">
      <c r="D124" s="1"/>
    </row>
    <row r="125" spans="4:4" x14ac:dyDescent="0.25">
      <c r="D125" s="1"/>
    </row>
    <row r="126" spans="4:4" x14ac:dyDescent="0.25">
      <c r="D126" s="51"/>
    </row>
    <row r="127" spans="4:4" x14ac:dyDescent="0.25">
      <c r="D127" s="1"/>
    </row>
    <row r="128" spans="4:4" x14ac:dyDescent="0.25">
      <c r="D128" s="1"/>
    </row>
    <row r="129" spans="4:4" x14ac:dyDescent="0.25">
      <c r="D129" s="51"/>
    </row>
    <row r="130" spans="4:4" x14ac:dyDescent="0.25">
      <c r="D130" s="1"/>
    </row>
    <row r="131" spans="4:4" x14ac:dyDescent="0.25">
      <c r="D131" s="1"/>
    </row>
    <row r="132" spans="4:4" x14ac:dyDescent="0.25">
      <c r="D132" s="51"/>
    </row>
    <row r="133" spans="4:4" x14ac:dyDescent="0.25">
      <c r="D133" s="1"/>
    </row>
    <row r="134" spans="4:4" x14ac:dyDescent="0.25">
      <c r="D134" s="1"/>
    </row>
  </sheetData>
  <phoneticPr fontId="4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O81"/>
  <sheetViews>
    <sheetView topLeftCell="E27" workbookViewId="0">
      <selection activeCell="L37" sqref="L37"/>
    </sheetView>
  </sheetViews>
  <sheetFormatPr defaultRowHeight="13.2" x14ac:dyDescent="0.25"/>
  <cols>
    <col min="1" max="1" width="23.21875" customWidth="1"/>
    <col min="2" max="2" width="13.77734375" customWidth="1"/>
    <col min="4" max="4" width="18.21875" customWidth="1"/>
    <col min="5" max="5" width="20.21875" customWidth="1"/>
    <col min="6" max="6" width="17.21875" customWidth="1"/>
    <col min="7" max="7" width="30.5546875" customWidth="1"/>
    <col min="8" max="8" width="10.44140625" customWidth="1"/>
    <col min="10" max="10" width="18" customWidth="1"/>
    <col min="11" max="11" width="13.5546875" customWidth="1"/>
    <col min="12" max="12" width="18.44140625" customWidth="1"/>
  </cols>
  <sheetData>
    <row r="2" spans="1:11" ht="15" x14ac:dyDescent="0.25">
      <c r="A2" s="545" t="s">
        <v>219</v>
      </c>
      <c r="B2" s="168"/>
      <c r="C2" s="168"/>
      <c r="D2" s="5"/>
      <c r="E2" s="65" t="s">
        <v>102</v>
      </c>
      <c r="G2" s="541" t="s">
        <v>216</v>
      </c>
    </row>
    <row r="3" spans="1:11" ht="21" thickBot="1" x14ac:dyDescent="0.3">
      <c r="A3" s="539"/>
      <c r="B3" s="283"/>
      <c r="C3" s="168"/>
      <c r="D3" s="168"/>
      <c r="E3" s="65" t="s">
        <v>103</v>
      </c>
      <c r="G3" s="283"/>
      <c r="H3" s="168"/>
      <c r="I3" s="168"/>
      <c r="J3" s="65" t="s">
        <v>218</v>
      </c>
    </row>
    <row r="4" spans="1:11" x14ac:dyDescent="0.25">
      <c r="A4" s="540"/>
      <c r="B4" s="710" t="s">
        <v>35</v>
      </c>
      <c r="C4" s="711" t="s">
        <v>36</v>
      </c>
      <c r="D4" s="711" t="s">
        <v>104</v>
      </c>
      <c r="E4" s="712" t="s">
        <v>104</v>
      </c>
      <c r="G4" s="542" t="s">
        <v>35</v>
      </c>
      <c r="H4" s="542" t="s">
        <v>36</v>
      </c>
      <c r="I4" s="542" t="s">
        <v>104</v>
      </c>
      <c r="J4" s="546" t="s">
        <v>104</v>
      </c>
    </row>
    <row r="5" spans="1:11" x14ac:dyDescent="0.25">
      <c r="B5" s="713" t="s">
        <v>37</v>
      </c>
      <c r="C5" s="547">
        <v>314.5</v>
      </c>
      <c r="D5" s="547" t="s">
        <v>25</v>
      </c>
      <c r="E5" s="714" t="s">
        <v>25</v>
      </c>
      <c r="F5" s="170"/>
      <c r="G5" s="543" t="s">
        <v>37</v>
      </c>
      <c r="H5" s="547">
        <v>51</v>
      </c>
      <c r="I5" s="547" t="s">
        <v>26</v>
      </c>
      <c r="J5" s="547" t="s">
        <v>26</v>
      </c>
    </row>
    <row r="6" spans="1:11" x14ac:dyDescent="0.25">
      <c r="B6" s="713"/>
      <c r="C6" s="547">
        <v>319.5</v>
      </c>
      <c r="D6" s="547" t="s">
        <v>25</v>
      </c>
      <c r="E6" s="715"/>
      <c r="F6" s="170"/>
      <c r="G6" s="543"/>
      <c r="H6" s="547">
        <v>55</v>
      </c>
      <c r="I6" s="547" t="s">
        <v>26</v>
      </c>
      <c r="J6" s="207"/>
    </row>
    <row r="7" spans="1:11" x14ac:dyDescent="0.25">
      <c r="B7" s="713" t="s">
        <v>220</v>
      </c>
      <c r="C7" s="547">
        <v>15995</v>
      </c>
      <c r="D7" s="547">
        <v>106540.97</v>
      </c>
      <c r="E7" s="716">
        <f>AVERAGE(D7:D8)</f>
        <v>102893.33</v>
      </c>
      <c r="F7" s="170"/>
      <c r="G7" s="543" t="s">
        <v>38</v>
      </c>
      <c r="H7" s="547">
        <v>6964</v>
      </c>
      <c r="I7" s="547" t="s">
        <v>217</v>
      </c>
      <c r="J7" s="548">
        <f>AVERAGE(I7:I8)</f>
        <v>18633.009999999998</v>
      </c>
    </row>
    <row r="8" spans="1:11" x14ac:dyDescent="0.25">
      <c r="B8" s="713"/>
      <c r="C8" s="547">
        <v>15353</v>
      </c>
      <c r="D8" s="547">
        <v>99245.69</v>
      </c>
      <c r="E8" s="715"/>
      <c r="F8" s="170"/>
      <c r="G8" s="543"/>
      <c r="H8" s="550">
        <v>6419</v>
      </c>
      <c r="I8" s="547">
        <v>18633.009999999998</v>
      </c>
      <c r="J8" s="207"/>
      <c r="K8" s="557" t="s">
        <v>233</v>
      </c>
    </row>
    <row r="9" spans="1:11" x14ac:dyDescent="0.25">
      <c r="B9" s="713" t="s">
        <v>221</v>
      </c>
      <c r="C9" s="547">
        <v>14095</v>
      </c>
      <c r="D9" s="547">
        <v>23833.8</v>
      </c>
      <c r="E9" s="716">
        <f>AVERAGE(D9:D10)</f>
        <v>28928.36</v>
      </c>
      <c r="F9" s="170"/>
      <c r="G9" s="543" t="s">
        <v>39</v>
      </c>
      <c r="H9" s="550">
        <v>6348</v>
      </c>
      <c r="I9" s="547">
        <v>16922.79</v>
      </c>
      <c r="J9" s="548">
        <f>AVERAGE(I9:I10)</f>
        <v>13570.39</v>
      </c>
    </row>
    <row r="10" spans="1:11" x14ac:dyDescent="0.25">
      <c r="B10" s="204"/>
      <c r="C10" s="550">
        <v>14831</v>
      </c>
      <c r="D10" s="547">
        <v>34022.92</v>
      </c>
      <c r="E10" s="716"/>
      <c r="F10" s="170"/>
      <c r="G10" s="207"/>
      <c r="H10" s="547">
        <v>5691</v>
      </c>
      <c r="I10" s="547">
        <v>10217.99</v>
      </c>
      <c r="J10" s="548"/>
    </row>
    <row r="11" spans="1:11" x14ac:dyDescent="0.25">
      <c r="B11" s="713" t="s">
        <v>222</v>
      </c>
      <c r="C11" s="547">
        <v>7542.5</v>
      </c>
      <c r="D11" s="547">
        <v>6950.68</v>
      </c>
      <c r="E11" s="716">
        <f>AVERAGE(D11:D12)</f>
        <v>6852.55</v>
      </c>
      <c r="F11" s="170"/>
      <c r="G11" s="543" t="s">
        <v>40</v>
      </c>
      <c r="H11" s="547">
        <v>2710.5</v>
      </c>
      <c r="I11" s="547">
        <v>3231.48</v>
      </c>
      <c r="J11" s="548">
        <f>AVERAGE(I11:I12)</f>
        <v>3124.5</v>
      </c>
    </row>
    <row r="12" spans="1:11" x14ac:dyDescent="0.25">
      <c r="B12" s="204"/>
      <c r="C12" s="547">
        <v>7382</v>
      </c>
      <c r="D12" s="547">
        <v>6754.42</v>
      </c>
      <c r="E12" s="716"/>
      <c r="F12" s="170"/>
      <c r="G12" s="207"/>
      <c r="H12" s="547">
        <v>2548.5</v>
      </c>
      <c r="I12" s="547">
        <v>3017.52</v>
      </c>
      <c r="J12" s="548"/>
    </row>
    <row r="13" spans="1:11" x14ac:dyDescent="0.25">
      <c r="B13" s="713" t="s">
        <v>223</v>
      </c>
      <c r="C13" s="547">
        <v>2544.5</v>
      </c>
      <c r="D13" s="547">
        <v>1745.07</v>
      </c>
      <c r="E13" s="716">
        <f>AVERAGE(D13:D14)</f>
        <v>1799.78</v>
      </c>
      <c r="F13" s="170"/>
      <c r="G13" s="543" t="s">
        <v>41</v>
      </c>
      <c r="H13" s="547">
        <v>807</v>
      </c>
      <c r="I13" s="547">
        <v>900.97</v>
      </c>
      <c r="J13" s="548">
        <f>AVERAGE(I13:I14)</f>
        <v>786.91499999999996</v>
      </c>
    </row>
    <row r="14" spans="1:11" x14ac:dyDescent="0.25">
      <c r="B14" s="713"/>
      <c r="C14" s="547">
        <v>2667</v>
      </c>
      <c r="D14" s="547">
        <v>1854.49</v>
      </c>
      <c r="E14" s="716"/>
      <c r="F14" s="170"/>
      <c r="G14" s="543"/>
      <c r="H14" s="547">
        <v>615</v>
      </c>
      <c r="I14" s="547">
        <v>672.86</v>
      </c>
      <c r="J14" s="548"/>
    </row>
    <row r="15" spans="1:11" x14ac:dyDescent="0.25">
      <c r="B15" s="713" t="s">
        <v>224</v>
      </c>
      <c r="C15" s="547">
        <v>709</v>
      </c>
      <c r="D15" s="547">
        <v>257.99</v>
      </c>
      <c r="E15" s="716">
        <f>AVERAGE(D15:D16)</f>
        <v>320.8</v>
      </c>
      <c r="F15" s="170"/>
      <c r="G15" s="543" t="s">
        <v>42</v>
      </c>
      <c r="H15" s="547">
        <v>232.5</v>
      </c>
      <c r="I15" s="547">
        <v>208.01</v>
      </c>
      <c r="J15" s="548">
        <f>AVERAGE(I15:I16)</f>
        <v>181.89</v>
      </c>
    </row>
    <row r="16" spans="1:11" x14ac:dyDescent="0.25">
      <c r="B16" s="713"/>
      <c r="C16" s="547">
        <v>886.5</v>
      </c>
      <c r="D16" s="547">
        <v>383.61</v>
      </c>
      <c r="E16" s="716"/>
      <c r="F16" s="170"/>
      <c r="G16" s="543"/>
      <c r="H16" s="547">
        <v>191</v>
      </c>
      <c r="I16" s="547">
        <v>155.77000000000001</v>
      </c>
      <c r="J16" s="548"/>
    </row>
    <row r="17" spans="1:15" x14ac:dyDescent="0.25">
      <c r="B17" s="713" t="s">
        <v>225</v>
      </c>
      <c r="C17" s="547">
        <v>460.5</v>
      </c>
      <c r="D17" s="547">
        <v>96.15</v>
      </c>
      <c r="E17" s="716">
        <f>AVERAGE(D17:D18)</f>
        <v>104.24000000000001</v>
      </c>
      <c r="F17" s="170"/>
      <c r="G17" s="543" t="s">
        <v>43</v>
      </c>
      <c r="H17" s="547">
        <v>116</v>
      </c>
      <c r="I17" s="547">
        <v>59.01</v>
      </c>
      <c r="J17" s="548">
        <f>AVERAGE(I17:I18)</f>
        <v>51.024999999999999</v>
      </c>
    </row>
    <row r="18" spans="1:15" ht="13.8" x14ac:dyDescent="0.25">
      <c r="B18" s="713" t="s">
        <v>28</v>
      </c>
      <c r="C18" s="547">
        <v>487</v>
      </c>
      <c r="D18" s="547">
        <v>112.33</v>
      </c>
      <c r="E18" s="714"/>
      <c r="F18" s="170"/>
      <c r="G18" s="543" t="s">
        <v>28</v>
      </c>
      <c r="H18" s="547">
        <v>104</v>
      </c>
      <c r="I18" s="547">
        <v>43.04</v>
      </c>
      <c r="J18" s="547"/>
      <c r="L18" s="558"/>
    </row>
    <row r="19" spans="1:15" x14ac:dyDescent="0.25">
      <c r="B19" s="713" t="s">
        <v>226</v>
      </c>
      <c r="C19" s="547">
        <v>390</v>
      </c>
      <c r="D19" s="547">
        <v>54.97</v>
      </c>
      <c r="E19" s="716">
        <f>AVERAGE(D19:D20)</f>
        <v>72.555000000000007</v>
      </c>
      <c r="F19" s="170"/>
      <c r="G19" s="543" t="s">
        <v>44</v>
      </c>
      <c r="H19" s="547">
        <v>91.5</v>
      </c>
      <c r="I19" s="547">
        <v>26.1</v>
      </c>
      <c r="J19" s="548">
        <f>AVERAGE(I19:I20)</f>
        <v>18.79</v>
      </c>
    </row>
    <row r="20" spans="1:15" ht="13.8" thickBot="1" x14ac:dyDescent="0.3">
      <c r="B20" s="717"/>
      <c r="C20" s="718">
        <v>450.5</v>
      </c>
      <c r="D20" s="718">
        <v>90.14</v>
      </c>
      <c r="E20" s="719"/>
      <c r="F20" s="170"/>
      <c r="G20" s="543"/>
      <c r="H20" s="547">
        <v>81</v>
      </c>
      <c r="I20" s="547">
        <v>11.48</v>
      </c>
      <c r="J20" s="548"/>
    </row>
    <row r="21" spans="1:15" x14ac:dyDescent="0.25">
      <c r="G21" s="140"/>
      <c r="H21" s="214"/>
      <c r="I21" s="214"/>
      <c r="J21" s="203"/>
    </row>
    <row r="22" spans="1:15" x14ac:dyDescent="0.25">
      <c r="A22" s="128" t="s">
        <v>30</v>
      </c>
      <c r="D22" s="55" t="s">
        <v>232</v>
      </c>
      <c r="E22" s="8" t="s">
        <v>227</v>
      </c>
      <c r="G22" s="128" t="s">
        <v>31</v>
      </c>
    </row>
    <row r="23" spans="1:15" ht="13.8" thickBot="1" x14ac:dyDescent="0.3">
      <c r="A23" s="102" t="s">
        <v>23</v>
      </c>
      <c r="B23" s="63"/>
      <c r="C23" s="64"/>
      <c r="D23" s="64"/>
      <c r="E23" s="1" t="s">
        <v>228</v>
      </c>
      <c r="F23" s="64"/>
      <c r="G23" s="62" t="s">
        <v>23</v>
      </c>
      <c r="H23" s="63"/>
      <c r="I23" s="64"/>
      <c r="J23" s="64"/>
      <c r="K23" s="1" t="s">
        <v>228</v>
      </c>
      <c r="L23" s="64"/>
      <c r="M23" s="2"/>
    </row>
    <row r="24" spans="1:15" ht="13.8" x14ac:dyDescent="0.25">
      <c r="A24" s="105" t="s">
        <v>24</v>
      </c>
      <c r="B24" s="106">
        <v>772</v>
      </c>
      <c r="C24" s="66">
        <v>279.5</v>
      </c>
      <c r="D24" s="66" t="s">
        <v>25</v>
      </c>
      <c r="E24" s="536">
        <v>0</v>
      </c>
      <c r="F24" s="566" t="s">
        <v>237</v>
      </c>
      <c r="G24" s="79" t="s">
        <v>24</v>
      </c>
      <c r="H24" s="80">
        <v>772</v>
      </c>
      <c r="I24" s="66">
        <v>90</v>
      </c>
      <c r="J24" s="66">
        <v>24.04</v>
      </c>
      <c r="K24" s="581">
        <v>5.3956983569776497E-2</v>
      </c>
      <c r="L24" s="562" t="s">
        <v>234</v>
      </c>
      <c r="M24" s="562"/>
      <c r="N24" s="562"/>
      <c r="O24" s="562"/>
    </row>
    <row r="25" spans="1:15" ht="17.399999999999999" x14ac:dyDescent="0.25">
      <c r="A25" s="107"/>
      <c r="B25" s="108"/>
      <c r="C25" s="68">
        <v>230.5</v>
      </c>
      <c r="D25" s="68" t="s">
        <v>25</v>
      </c>
      <c r="E25" s="293"/>
      <c r="F25" s="110"/>
      <c r="G25" s="81"/>
      <c r="H25" s="82"/>
      <c r="I25" s="68">
        <v>123.5</v>
      </c>
      <c r="J25" s="68">
        <v>68.900000000000006</v>
      </c>
      <c r="K25" s="582"/>
      <c r="L25" s="72"/>
      <c r="M25" s="72"/>
    </row>
    <row r="26" spans="1:15" ht="17.399999999999999" x14ac:dyDescent="0.25">
      <c r="A26" s="107" t="s">
        <v>24</v>
      </c>
      <c r="B26" s="111">
        <v>612</v>
      </c>
      <c r="C26" s="68">
        <v>254</v>
      </c>
      <c r="D26" s="68" t="s">
        <v>25</v>
      </c>
      <c r="E26" s="535">
        <v>0</v>
      </c>
      <c r="F26" s="67"/>
      <c r="G26" s="81" t="s">
        <v>24</v>
      </c>
      <c r="H26" s="83">
        <v>612</v>
      </c>
      <c r="I26" s="68">
        <v>149.5</v>
      </c>
      <c r="J26" s="68">
        <v>102.73</v>
      </c>
      <c r="K26" s="582">
        <v>0.13879250462282799</v>
      </c>
      <c r="L26" s="72"/>
      <c r="M26" s="72"/>
    </row>
    <row r="27" spans="1:15" ht="13.8" x14ac:dyDescent="0.25">
      <c r="A27" s="107"/>
      <c r="B27" s="108"/>
      <c r="C27" s="68">
        <v>293</v>
      </c>
      <c r="D27" s="68" t="s">
        <v>25</v>
      </c>
      <c r="E27" s="293"/>
      <c r="F27" s="87"/>
      <c r="G27" s="81"/>
      <c r="H27" s="82"/>
      <c r="I27" s="68">
        <v>160.5</v>
      </c>
      <c r="J27" s="68">
        <v>116.89</v>
      </c>
      <c r="K27" s="582"/>
      <c r="L27" s="72"/>
    </row>
    <row r="28" spans="1:15" ht="17.399999999999999" x14ac:dyDescent="0.25">
      <c r="A28" s="107" t="s">
        <v>24</v>
      </c>
      <c r="B28" s="111">
        <v>625</v>
      </c>
      <c r="C28" s="68">
        <v>183</v>
      </c>
      <c r="D28" s="68" t="s">
        <v>25</v>
      </c>
      <c r="E28" s="535">
        <v>0</v>
      </c>
      <c r="F28" s="67"/>
      <c r="G28" s="81" t="s">
        <v>24</v>
      </c>
      <c r="H28" s="83">
        <v>625</v>
      </c>
      <c r="I28" s="68">
        <v>58.5</v>
      </c>
      <c r="J28" s="68" t="s">
        <v>26</v>
      </c>
      <c r="K28" s="583">
        <f>0.012/SQRT(2)</f>
        <v>8.4852813742385697E-3</v>
      </c>
      <c r="L28" s="72"/>
    </row>
    <row r="29" spans="1:15" ht="17.399999999999999" x14ac:dyDescent="0.25">
      <c r="A29" s="107"/>
      <c r="B29" s="108"/>
      <c r="C29" s="68">
        <v>241</v>
      </c>
      <c r="D29" s="68" t="s">
        <v>25</v>
      </c>
      <c r="E29" s="293"/>
      <c r="F29" s="110"/>
      <c r="G29" s="81"/>
      <c r="H29" s="82"/>
      <c r="I29" s="68">
        <v>39</v>
      </c>
      <c r="J29" s="68" t="s">
        <v>26</v>
      </c>
      <c r="K29" s="582"/>
      <c r="L29" s="72"/>
      <c r="M29" s="72"/>
    </row>
    <row r="30" spans="1:15" ht="17.399999999999999" x14ac:dyDescent="0.25">
      <c r="A30" s="107" t="s">
        <v>24</v>
      </c>
      <c r="B30" s="111">
        <v>668</v>
      </c>
      <c r="C30" s="68">
        <v>308.5</v>
      </c>
      <c r="D30" s="68" t="s">
        <v>25</v>
      </c>
      <c r="E30" s="535">
        <v>0</v>
      </c>
      <c r="F30" s="67"/>
      <c r="G30" s="81" t="s">
        <v>24</v>
      </c>
      <c r="H30" s="83">
        <v>668</v>
      </c>
      <c r="I30" s="68">
        <v>42</v>
      </c>
      <c r="J30" s="68" t="s">
        <v>26</v>
      </c>
      <c r="K30" s="583">
        <f>0.012/SQRT(2)</f>
        <v>8.4852813742385697E-3</v>
      </c>
      <c r="L30" s="72"/>
      <c r="M30" s="72"/>
    </row>
    <row r="31" spans="1:15" ht="17.399999999999999" x14ac:dyDescent="0.25">
      <c r="A31" s="112"/>
      <c r="B31" s="108"/>
      <c r="C31" s="68">
        <v>308</v>
      </c>
      <c r="D31" s="68" t="s">
        <v>25</v>
      </c>
      <c r="E31" s="293"/>
      <c r="F31" s="110"/>
      <c r="G31" s="84"/>
      <c r="H31" s="82"/>
      <c r="I31" s="68">
        <v>41.5</v>
      </c>
      <c r="J31" s="68" t="s">
        <v>26</v>
      </c>
      <c r="K31" s="582"/>
      <c r="L31" s="72"/>
      <c r="M31" s="72"/>
    </row>
    <row r="32" spans="1:15" ht="17.399999999999999" x14ac:dyDescent="0.25">
      <c r="A32" s="107" t="s">
        <v>24</v>
      </c>
      <c r="B32" s="114">
        <v>680</v>
      </c>
      <c r="C32" s="68">
        <v>272</v>
      </c>
      <c r="D32" s="68" t="s">
        <v>25</v>
      </c>
      <c r="E32" s="535">
        <v>0</v>
      </c>
      <c r="F32" s="67"/>
      <c r="G32" s="81" t="s">
        <v>24</v>
      </c>
      <c r="H32" s="85">
        <v>680</v>
      </c>
      <c r="I32" s="68">
        <v>56</v>
      </c>
      <c r="J32" s="68" t="s">
        <v>26</v>
      </c>
      <c r="K32" s="583">
        <f>0.012/SQRT(2)</f>
        <v>8.4852813742385697E-3</v>
      </c>
      <c r="L32" s="72"/>
      <c r="M32" s="72"/>
    </row>
    <row r="33" spans="1:13" ht="17.399999999999999" x14ac:dyDescent="0.3">
      <c r="A33" s="112"/>
      <c r="B33" s="108"/>
      <c r="C33" s="68">
        <v>277</v>
      </c>
      <c r="D33" s="68" t="s">
        <v>25</v>
      </c>
      <c r="E33" s="293"/>
      <c r="F33" s="110"/>
      <c r="G33" s="84"/>
      <c r="H33" s="82"/>
      <c r="I33" s="68">
        <v>41</v>
      </c>
      <c r="J33" s="68" t="s">
        <v>26</v>
      </c>
      <c r="K33" s="582"/>
      <c r="L33" s="70"/>
      <c r="M33" s="129"/>
    </row>
    <row r="34" spans="1:13" ht="17.399999999999999" x14ac:dyDescent="0.25">
      <c r="A34" s="107" t="s">
        <v>24</v>
      </c>
      <c r="B34" s="114">
        <v>670</v>
      </c>
      <c r="C34" s="68">
        <v>256</v>
      </c>
      <c r="D34" s="68" t="s">
        <v>25</v>
      </c>
      <c r="E34" s="535">
        <v>0</v>
      </c>
      <c r="F34" s="67"/>
      <c r="G34" s="81" t="s">
        <v>24</v>
      </c>
      <c r="H34" s="85">
        <v>670</v>
      </c>
      <c r="I34" s="68">
        <v>248</v>
      </c>
      <c r="J34" s="68">
        <v>227.37</v>
      </c>
      <c r="K34" s="582">
        <v>0.27086239454732602</v>
      </c>
      <c r="L34" s="67"/>
      <c r="M34" s="129"/>
    </row>
    <row r="35" spans="1:13" ht="17.399999999999999" x14ac:dyDescent="0.3">
      <c r="A35" s="112"/>
      <c r="B35" s="108"/>
      <c r="C35" s="68">
        <v>288</v>
      </c>
      <c r="D35" s="68" t="s">
        <v>25</v>
      </c>
      <c r="E35" s="293"/>
      <c r="F35" s="87"/>
      <c r="G35" s="84"/>
      <c r="H35" s="82"/>
      <c r="I35" s="68">
        <v>247.5</v>
      </c>
      <c r="J35" s="68">
        <v>226.75</v>
      </c>
      <c r="K35" s="582"/>
      <c r="L35" s="70"/>
      <c r="M35" s="2"/>
    </row>
    <row r="36" spans="1:13" ht="17.399999999999999" x14ac:dyDescent="0.25">
      <c r="A36" s="107" t="s">
        <v>24</v>
      </c>
      <c r="B36" s="114">
        <v>682</v>
      </c>
      <c r="C36" s="68">
        <v>286</v>
      </c>
      <c r="D36" s="68" t="s">
        <v>25</v>
      </c>
      <c r="E36" s="535">
        <v>0</v>
      </c>
      <c r="F36" s="67"/>
      <c r="G36" s="81" t="s">
        <v>24</v>
      </c>
      <c r="H36" s="85">
        <v>682</v>
      </c>
      <c r="I36" s="68">
        <v>453</v>
      </c>
      <c r="J36" s="68">
        <v>478.42</v>
      </c>
      <c r="K36" s="582">
        <v>0.47766341401670398</v>
      </c>
      <c r="L36" s="67"/>
      <c r="M36" s="129"/>
    </row>
    <row r="37" spans="1:13" ht="17.399999999999999" x14ac:dyDescent="0.3">
      <c r="A37" s="112"/>
      <c r="B37" s="108"/>
      <c r="C37" s="68">
        <v>315.5</v>
      </c>
      <c r="D37" s="68" t="s">
        <v>25</v>
      </c>
      <c r="E37" s="293"/>
      <c r="F37" s="110"/>
      <c r="G37" s="84"/>
      <c r="H37" s="82"/>
      <c r="I37" s="68">
        <v>378.5</v>
      </c>
      <c r="J37" s="68">
        <v>388.03</v>
      </c>
      <c r="K37" s="582"/>
      <c r="L37" s="70"/>
      <c r="M37" s="129"/>
    </row>
    <row r="38" spans="1:13" ht="17.399999999999999" x14ac:dyDescent="0.25">
      <c r="A38" s="107" t="s">
        <v>24</v>
      </c>
      <c r="B38" s="114">
        <v>775</v>
      </c>
      <c r="C38" s="68">
        <v>229</v>
      </c>
      <c r="D38" s="68" t="s">
        <v>25</v>
      </c>
      <c r="E38" s="535">
        <v>0</v>
      </c>
      <c r="F38" s="67"/>
      <c r="G38" s="81" t="s">
        <v>24</v>
      </c>
      <c r="H38" s="85">
        <v>775</v>
      </c>
      <c r="I38" s="68">
        <v>974</v>
      </c>
      <c r="J38" s="68">
        <v>1098.32</v>
      </c>
      <c r="K38" s="720">
        <v>0.98454779858666597</v>
      </c>
      <c r="L38" s="721" t="s">
        <v>215</v>
      </c>
      <c r="M38" s="129"/>
    </row>
    <row r="39" spans="1:13" ht="18" thickBot="1" x14ac:dyDescent="0.3">
      <c r="A39" s="112"/>
      <c r="B39" s="108"/>
      <c r="C39" s="68">
        <v>185</v>
      </c>
      <c r="D39" s="68" t="s">
        <v>25</v>
      </c>
      <c r="E39" s="293"/>
      <c r="F39" s="110"/>
      <c r="G39" s="84"/>
      <c r="H39" s="82"/>
      <c r="I39" s="68">
        <v>774.5</v>
      </c>
      <c r="J39" s="68">
        <v>862.47</v>
      </c>
      <c r="K39" s="584"/>
      <c r="L39" s="129"/>
      <c r="M39" s="129"/>
    </row>
    <row r="40" spans="1:13" ht="13.8" x14ac:dyDescent="0.25">
      <c r="A40" s="107" t="s">
        <v>24</v>
      </c>
      <c r="B40" s="114">
        <v>627</v>
      </c>
      <c r="C40" s="68">
        <v>255.5</v>
      </c>
      <c r="D40" s="68" t="s">
        <v>25</v>
      </c>
      <c r="E40" s="596">
        <v>0</v>
      </c>
      <c r="F40" s="706">
        <f>AVERAGE(E24:E40)</f>
        <v>0</v>
      </c>
      <c r="G40" s="704" t="s">
        <v>24</v>
      </c>
      <c r="H40" s="85">
        <v>627</v>
      </c>
      <c r="I40" s="68">
        <v>66.5</v>
      </c>
      <c r="J40" s="68" t="s">
        <v>26</v>
      </c>
      <c r="K40" s="585">
        <f>0.012/SQRT(2)</f>
        <v>8.4852813742385697E-3</v>
      </c>
      <c r="L40" s="706">
        <f>AVERAGE(K24:K40)</f>
        <v>0.21775158009336165</v>
      </c>
      <c r="M40" s="129"/>
    </row>
    <row r="41" spans="1:13" ht="14.4" thickBot="1" x14ac:dyDescent="0.3">
      <c r="A41" s="115"/>
      <c r="B41" s="116"/>
      <c r="C41" s="75">
        <v>260.5</v>
      </c>
      <c r="D41" s="75" t="s">
        <v>25</v>
      </c>
      <c r="E41" s="684"/>
      <c r="F41" s="707">
        <f>STDEV(E24:E40)/SQRT(COUNT(E24:E40))</f>
        <v>0</v>
      </c>
      <c r="G41" s="705"/>
      <c r="H41" s="544"/>
      <c r="I41" s="75">
        <v>71</v>
      </c>
      <c r="J41" s="75" t="s">
        <v>26</v>
      </c>
      <c r="K41" s="580"/>
      <c r="L41" s="707">
        <f>STDEV(K24:K40)/SQRT(COUNT(K24:K40))</f>
        <v>0.1097082052340612</v>
      </c>
    </row>
    <row r="42" spans="1:13" ht="17.399999999999999" x14ac:dyDescent="0.25">
      <c r="A42" s="105" t="s">
        <v>27</v>
      </c>
      <c r="B42" s="567">
        <v>667</v>
      </c>
      <c r="C42" s="66">
        <v>241</v>
      </c>
      <c r="D42" s="66" t="s">
        <v>25</v>
      </c>
      <c r="E42" s="536">
        <v>0</v>
      </c>
      <c r="F42" s="67"/>
      <c r="G42" s="578" t="s">
        <v>27</v>
      </c>
      <c r="H42" s="579">
        <v>667</v>
      </c>
      <c r="I42" s="77">
        <v>31</v>
      </c>
      <c r="J42" s="77" t="s">
        <v>26</v>
      </c>
      <c r="K42" s="536">
        <v>0</v>
      </c>
      <c r="L42" s="566" t="s">
        <v>237</v>
      </c>
      <c r="M42" s="129"/>
    </row>
    <row r="43" spans="1:13" ht="17.399999999999999" x14ac:dyDescent="0.3">
      <c r="A43" s="112"/>
      <c r="B43" s="108"/>
      <c r="C43" s="68">
        <v>283.5</v>
      </c>
      <c r="D43" s="68" t="s">
        <v>25</v>
      </c>
      <c r="E43" s="293"/>
      <c r="F43" s="110"/>
      <c r="G43" s="84"/>
      <c r="H43" s="82"/>
      <c r="I43" s="68">
        <v>37.5</v>
      </c>
      <c r="J43" s="68" t="s">
        <v>26</v>
      </c>
      <c r="K43" s="293"/>
      <c r="L43" s="70"/>
      <c r="M43" s="2"/>
    </row>
    <row r="44" spans="1:13" ht="17.399999999999999" x14ac:dyDescent="0.25">
      <c r="A44" s="107" t="s">
        <v>27</v>
      </c>
      <c r="B44" s="118">
        <v>666</v>
      </c>
      <c r="C44" s="68">
        <v>302</v>
      </c>
      <c r="D44" s="68" t="s">
        <v>25</v>
      </c>
      <c r="E44" s="535">
        <v>0</v>
      </c>
      <c r="F44" s="67"/>
      <c r="G44" s="81" t="s">
        <v>27</v>
      </c>
      <c r="H44" s="86">
        <v>666</v>
      </c>
      <c r="I44" s="68">
        <v>41.5</v>
      </c>
      <c r="J44" s="68" t="s">
        <v>26</v>
      </c>
      <c r="K44" s="535">
        <v>0</v>
      </c>
      <c r="L44" s="67"/>
      <c r="M44" s="129"/>
    </row>
    <row r="45" spans="1:13" ht="17.399999999999999" x14ac:dyDescent="0.3">
      <c r="A45" s="112"/>
      <c r="B45" s="108"/>
      <c r="C45" s="68">
        <v>301.5</v>
      </c>
      <c r="D45" s="68" t="s">
        <v>25</v>
      </c>
      <c r="E45" s="293"/>
      <c r="F45" s="87"/>
      <c r="G45" s="84"/>
      <c r="H45" s="82"/>
      <c r="I45" s="68">
        <v>39.5</v>
      </c>
      <c r="J45" s="68" t="s">
        <v>26</v>
      </c>
      <c r="K45" s="293"/>
      <c r="L45" s="70"/>
      <c r="M45" s="129"/>
    </row>
    <row r="46" spans="1:13" ht="17.399999999999999" x14ac:dyDescent="0.25">
      <c r="A46" s="107" t="s">
        <v>27</v>
      </c>
      <c r="B46" s="118">
        <v>669</v>
      </c>
      <c r="C46" s="68">
        <v>330.5</v>
      </c>
      <c r="D46" s="68" t="s">
        <v>25</v>
      </c>
      <c r="E46" s="535">
        <v>0</v>
      </c>
      <c r="F46" s="67"/>
      <c r="G46" s="81" t="s">
        <v>27</v>
      </c>
      <c r="H46" s="86">
        <v>669</v>
      </c>
      <c r="I46" s="68">
        <v>34</v>
      </c>
      <c r="J46" s="68" t="s">
        <v>26</v>
      </c>
      <c r="K46" s="535">
        <v>0</v>
      </c>
      <c r="L46" s="67"/>
      <c r="M46" s="129"/>
    </row>
    <row r="47" spans="1:13" ht="17.399999999999999" x14ac:dyDescent="0.25">
      <c r="A47" s="112"/>
      <c r="B47" s="108"/>
      <c r="C47" s="68">
        <v>336</v>
      </c>
      <c r="D47" s="68" t="s">
        <v>25</v>
      </c>
      <c r="E47" s="293"/>
      <c r="F47" s="110"/>
      <c r="G47" s="84"/>
      <c r="H47" s="82"/>
      <c r="I47" s="68">
        <v>43</v>
      </c>
      <c r="J47" s="68" t="s">
        <v>26</v>
      </c>
      <c r="K47" s="293"/>
      <c r="L47" s="129"/>
      <c r="M47" s="129"/>
    </row>
    <row r="48" spans="1:13" ht="17.399999999999999" x14ac:dyDescent="0.25">
      <c r="A48" s="107" t="s">
        <v>27</v>
      </c>
      <c r="B48" s="88">
        <v>679</v>
      </c>
      <c r="C48" s="68">
        <v>300.5</v>
      </c>
      <c r="D48" s="68" t="s">
        <v>25</v>
      </c>
      <c r="E48" s="535">
        <v>0</v>
      </c>
      <c r="F48" s="67"/>
      <c r="G48" s="81" t="s">
        <v>27</v>
      </c>
      <c r="H48" s="88">
        <v>679</v>
      </c>
      <c r="I48" s="68">
        <v>38</v>
      </c>
      <c r="J48" s="68" t="s">
        <v>26</v>
      </c>
      <c r="K48" s="535">
        <v>0</v>
      </c>
      <c r="L48" s="67"/>
      <c r="M48" s="129"/>
    </row>
    <row r="49" spans="1:13" ht="17.399999999999999" x14ac:dyDescent="0.3">
      <c r="A49" s="119"/>
      <c r="B49" s="90"/>
      <c r="C49" s="68">
        <v>323</v>
      </c>
      <c r="D49" s="68" t="s">
        <v>25</v>
      </c>
      <c r="E49" s="293"/>
      <c r="F49" s="110"/>
      <c r="G49" s="89"/>
      <c r="H49" s="90"/>
      <c r="I49" s="68">
        <v>57.5</v>
      </c>
      <c r="J49" s="68" t="s">
        <v>26</v>
      </c>
      <c r="K49" s="293"/>
      <c r="L49" s="70"/>
      <c r="M49" s="129" t="s">
        <v>28</v>
      </c>
    </row>
    <row r="50" spans="1:13" ht="17.399999999999999" x14ac:dyDescent="0.25">
      <c r="A50" s="107" t="s">
        <v>27</v>
      </c>
      <c r="B50" s="120">
        <v>318</v>
      </c>
      <c r="C50" s="68">
        <v>293.5</v>
      </c>
      <c r="D50" s="68" t="s">
        <v>25</v>
      </c>
      <c r="E50" s="535">
        <v>0</v>
      </c>
      <c r="F50" s="67"/>
      <c r="G50" s="81" t="s">
        <v>27</v>
      </c>
      <c r="H50" s="91">
        <v>318</v>
      </c>
      <c r="I50" s="68">
        <v>36.5</v>
      </c>
      <c r="J50" s="68" t="s">
        <v>26</v>
      </c>
      <c r="K50" s="535">
        <v>0</v>
      </c>
      <c r="L50" s="67"/>
      <c r="M50" s="129"/>
    </row>
    <row r="51" spans="1:13" ht="17.399999999999999" x14ac:dyDescent="0.3">
      <c r="A51" s="119"/>
      <c r="B51" s="90"/>
      <c r="C51" s="68">
        <v>263</v>
      </c>
      <c r="D51" s="68" t="s">
        <v>25</v>
      </c>
      <c r="E51" s="293"/>
      <c r="F51" s="110"/>
      <c r="G51" s="89"/>
      <c r="H51" s="90"/>
      <c r="I51" s="68">
        <v>26</v>
      </c>
      <c r="J51" s="68" t="s">
        <v>26</v>
      </c>
      <c r="K51" s="293"/>
      <c r="L51" s="70"/>
      <c r="M51" s="2"/>
    </row>
    <row r="52" spans="1:13" ht="17.399999999999999" x14ac:dyDescent="0.25">
      <c r="A52" s="107" t="s">
        <v>27</v>
      </c>
      <c r="B52" s="120">
        <v>771</v>
      </c>
      <c r="C52" s="68">
        <v>278.5</v>
      </c>
      <c r="D52" s="68" t="s">
        <v>25</v>
      </c>
      <c r="E52" s="535">
        <v>0</v>
      </c>
      <c r="F52" s="67"/>
      <c r="G52" s="81" t="s">
        <v>27</v>
      </c>
      <c r="H52" s="91">
        <v>771</v>
      </c>
      <c r="I52" s="68">
        <v>32</v>
      </c>
      <c r="J52" s="68" t="s">
        <v>26</v>
      </c>
      <c r="K52" s="535">
        <v>0</v>
      </c>
      <c r="L52" s="67"/>
      <c r="M52" s="129"/>
    </row>
    <row r="53" spans="1:13" ht="17.399999999999999" x14ac:dyDescent="0.3">
      <c r="A53" s="92"/>
      <c r="B53" s="90"/>
      <c r="C53" s="68">
        <v>299.5</v>
      </c>
      <c r="D53" s="68" t="s">
        <v>25</v>
      </c>
      <c r="E53" s="293"/>
      <c r="F53" s="87"/>
      <c r="G53" s="92"/>
      <c r="H53" s="90"/>
      <c r="I53" s="68">
        <v>40.5</v>
      </c>
      <c r="J53" s="68" t="s">
        <v>26</v>
      </c>
      <c r="K53" s="293"/>
      <c r="L53" s="70"/>
      <c r="M53" s="129"/>
    </row>
    <row r="54" spans="1:13" ht="17.399999999999999" x14ac:dyDescent="0.25">
      <c r="A54" s="107" t="s">
        <v>27</v>
      </c>
      <c r="B54" s="120">
        <v>770</v>
      </c>
      <c r="C54" s="68">
        <v>164.5</v>
      </c>
      <c r="D54" s="68" t="s">
        <v>25</v>
      </c>
      <c r="E54" s="535">
        <v>0</v>
      </c>
      <c r="F54" s="67"/>
      <c r="G54" s="81" t="s">
        <v>27</v>
      </c>
      <c r="H54" s="91">
        <v>770</v>
      </c>
      <c r="I54" s="68">
        <v>29.5</v>
      </c>
      <c r="J54" s="68" t="s">
        <v>26</v>
      </c>
      <c r="K54" s="535">
        <v>0</v>
      </c>
      <c r="L54" s="67"/>
      <c r="M54" s="129"/>
    </row>
    <row r="55" spans="1:13" ht="17.399999999999999" x14ac:dyDescent="0.25">
      <c r="A55" s="107"/>
      <c r="B55" s="90"/>
      <c r="C55" s="68">
        <v>149</v>
      </c>
      <c r="D55" s="68" t="s">
        <v>25</v>
      </c>
      <c r="E55" s="293"/>
      <c r="F55" s="110"/>
      <c r="G55" s="81"/>
      <c r="H55" s="90"/>
      <c r="I55" s="68">
        <v>37.5</v>
      </c>
      <c r="J55" s="68" t="s">
        <v>26</v>
      </c>
      <c r="K55" s="293"/>
      <c r="L55" s="87"/>
      <c r="M55" s="130"/>
    </row>
    <row r="56" spans="1:13" ht="17.399999999999999" x14ac:dyDescent="0.25">
      <c r="A56" s="107" t="s">
        <v>27</v>
      </c>
      <c r="B56" s="88">
        <v>613</v>
      </c>
      <c r="C56" s="68">
        <v>232.5</v>
      </c>
      <c r="D56" s="68" t="s">
        <v>25</v>
      </c>
      <c r="E56" s="535">
        <v>0</v>
      </c>
      <c r="F56" s="67"/>
      <c r="G56" s="81" t="s">
        <v>27</v>
      </c>
      <c r="H56" s="88">
        <v>613</v>
      </c>
      <c r="I56" s="68">
        <v>40</v>
      </c>
      <c r="J56" s="68" t="s">
        <v>26</v>
      </c>
      <c r="K56" s="535">
        <v>0</v>
      </c>
      <c r="L56" s="67"/>
      <c r="M56" s="129"/>
    </row>
    <row r="57" spans="1:13" ht="18" thickBot="1" x14ac:dyDescent="0.35">
      <c r="A57" s="107"/>
      <c r="B57" s="90"/>
      <c r="C57" s="68">
        <v>310.5</v>
      </c>
      <c r="D57" s="68" t="s">
        <v>25</v>
      </c>
      <c r="E57" s="293"/>
      <c r="F57" s="110"/>
      <c r="G57" s="81"/>
      <c r="H57" s="90"/>
      <c r="I57" s="68">
        <v>44.5</v>
      </c>
      <c r="J57" s="68" t="s">
        <v>26</v>
      </c>
      <c r="K57" s="293"/>
      <c r="L57" s="70"/>
      <c r="M57" s="129"/>
    </row>
    <row r="58" spans="1:13" ht="13.8" x14ac:dyDescent="0.25">
      <c r="A58" s="107" t="s">
        <v>27</v>
      </c>
      <c r="B58" s="88">
        <v>671</v>
      </c>
      <c r="C58" s="68">
        <v>222.5</v>
      </c>
      <c r="D58" s="68" t="s">
        <v>25</v>
      </c>
      <c r="E58" s="535">
        <v>0</v>
      </c>
      <c r="F58" s="708">
        <f>AVERAGE(E42:E58)</f>
        <v>0</v>
      </c>
      <c r="G58" s="81" t="s">
        <v>27</v>
      </c>
      <c r="H58" s="88">
        <v>671</v>
      </c>
      <c r="I58" s="68">
        <v>46</v>
      </c>
      <c r="J58" s="68" t="s">
        <v>26</v>
      </c>
      <c r="K58" s="535">
        <v>0</v>
      </c>
      <c r="L58" s="708">
        <f>AVERAGE(K42:K58)</f>
        <v>0</v>
      </c>
      <c r="M58" s="129"/>
    </row>
    <row r="59" spans="1:13" ht="14.4" thickBot="1" x14ac:dyDescent="0.3">
      <c r="A59" s="121"/>
      <c r="B59" s="93"/>
      <c r="C59" s="75">
        <v>204</v>
      </c>
      <c r="D59" s="75" t="s">
        <v>25</v>
      </c>
      <c r="E59" s="299"/>
      <c r="F59" s="709">
        <f>STDEV(E42:E58)/SQRT(COUNT(E42:E58))</f>
        <v>0</v>
      </c>
      <c r="G59" s="131"/>
      <c r="H59" s="98"/>
      <c r="I59" s="78">
        <v>44</v>
      </c>
      <c r="J59" s="78" t="s">
        <v>26</v>
      </c>
      <c r="K59" s="132"/>
      <c r="L59" s="709">
        <f>STDEV(K42:K58)/SQRT(COUNT(K42:K58))</f>
        <v>0</v>
      </c>
      <c r="M59" s="2"/>
    </row>
    <row r="60" spans="1:13" ht="17.399999999999999" x14ac:dyDescent="0.25">
      <c r="A60" s="126" t="s">
        <v>20</v>
      </c>
      <c r="B60" s="133">
        <v>332</v>
      </c>
      <c r="C60" s="66">
        <v>768</v>
      </c>
      <c r="D60" s="66">
        <v>293.02</v>
      </c>
      <c r="E60" s="291">
        <v>0.543362233935485</v>
      </c>
      <c r="F60" s="67"/>
      <c r="G60" s="99" t="s">
        <v>20</v>
      </c>
      <c r="H60" s="133">
        <v>332</v>
      </c>
      <c r="I60" s="66">
        <v>28.5</v>
      </c>
      <c r="J60" s="66" t="s">
        <v>26</v>
      </c>
      <c r="K60" s="536">
        <v>0</v>
      </c>
      <c r="L60" s="566" t="s">
        <v>237</v>
      </c>
    </row>
    <row r="61" spans="1:13" ht="17.399999999999999" x14ac:dyDescent="0.3">
      <c r="A61" s="107"/>
      <c r="B61" s="90"/>
      <c r="C61" s="68">
        <v>1066</v>
      </c>
      <c r="D61" s="68">
        <v>507.63</v>
      </c>
      <c r="E61" s="293"/>
      <c r="F61" s="87"/>
      <c r="G61" s="81"/>
      <c r="H61" s="90"/>
      <c r="I61" s="68">
        <v>30</v>
      </c>
      <c r="J61" s="68" t="s">
        <v>26</v>
      </c>
      <c r="K61" s="71"/>
      <c r="L61" s="70"/>
      <c r="M61" s="129"/>
    </row>
    <row r="62" spans="1:13" ht="17.399999999999999" x14ac:dyDescent="0.25">
      <c r="A62" s="122" t="s">
        <v>20</v>
      </c>
      <c r="B62" s="95">
        <v>299</v>
      </c>
      <c r="C62" s="68">
        <v>1573.5</v>
      </c>
      <c r="D62" s="68">
        <v>906.74</v>
      </c>
      <c r="E62" s="293">
        <v>1.08600000066013</v>
      </c>
      <c r="F62" s="67"/>
      <c r="G62" s="94" t="s">
        <v>20</v>
      </c>
      <c r="H62" s="95">
        <v>299</v>
      </c>
      <c r="I62" s="68">
        <v>37</v>
      </c>
      <c r="J62" s="68" t="s">
        <v>26</v>
      </c>
      <c r="K62" s="535">
        <v>0</v>
      </c>
      <c r="L62" s="67"/>
      <c r="M62" s="129"/>
    </row>
    <row r="63" spans="1:13" ht="17.399999999999999" x14ac:dyDescent="0.25">
      <c r="A63" s="123"/>
      <c r="B63" s="90"/>
      <c r="C63" s="68">
        <v>1583.5</v>
      </c>
      <c r="D63" s="68">
        <v>914.94</v>
      </c>
      <c r="E63" s="293"/>
      <c r="F63" s="110"/>
      <c r="G63" s="96"/>
      <c r="H63" s="90"/>
      <c r="I63" s="68">
        <v>62</v>
      </c>
      <c r="J63" s="68" t="s">
        <v>26</v>
      </c>
      <c r="K63" s="69"/>
      <c r="L63" s="87"/>
      <c r="M63" s="130"/>
    </row>
    <row r="64" spans="1:13" ht="17.399999999999999" x14ac:dyDescent="0.25">
      <c r="A64" s="122" t="s">
        <v>20</v>
      </c>
      <c r="B64" s="95">
        <v>305</v>
      </c>
      <c r="C64" s="68">
        <v>1583.5</v>
      </c>
      <c r="D64" s="68">
        <v>914.94</v>
      </c>
      <c r="E64" s="293">
        <v>1.09682429621481</v>
      </c>
      <c r="F64" s="67"/>
      <c r="G64" s="94" t="s">
        <v>20</v>
      </c>
      <c r="H64" s="95">
        <v>305</v>
      </c>
      <c r="I64" s="68">
        <v>44</v>
      </c>
      <c r="J64" s="68" t="s">
        <v>26</v>
      </c>
      <c r="K64" s="535">
        <v>0</v>
      </c>
      <c r="L64" s="67"/>
      <c r="M64" s="129"/>
    </row>
    <row r="65" spans="1:13" ht="17.399999999999999" x14ac:dyDescent="0.3">
      <c r="A65" s="124"/>
      <c r="B65" s="90"/>
      <c r="C65" s="68">
        <v>1601</v>
      </c>
      <c r="D65" s="68">
        <v>929.32</v>
      </c>
      <c r="E65" s="293"/>
      <c r="F65" s="110"/>
      <c r="G65" s="97"/>
      <c r="H65" s="90"/>
      <c r="I65" s="68">
        <v>63.5</v>
      </c>
      <c r="J65" s="68" t="s">
        <v>26</v>
      </c>
      <c r="K65" s="73"/>
      <c r="L65" s="70"/>
      <c r="M65" s="129"/>
    </row>
    <row r="66" spans="1:13" ht="17.399999999999999" x14ac:dyDescent="0.25">
      <c r="A66" s="122" t="s">
        <v>20</v>
      </c>
      <c r="B66" s="95">
        <v>300</v>
      </c>
      <c r="C66" s="68">
        <v>2379.5</v>
      </c>
      <c r="D66" s="68">
        <v>1599.5</v>
      </c>
      <c r="E66" s="293">
        <v>1.9747790380368</v>
      </c>
      <c r="F66" s="67"/>
      <c r="G66" s="94" t="s">
        <v>20</v>
      </c>
      <c r="H66" s="95">
        <v>300</v>
      </c>
      <c r="I66" s="68">
        <v>32.5</v>
      </c>
      <c r="J66" s="68" t="s">
        <v>26</v>
      </c>
      <c r="K66" s="535">
        <v>0</v>
      </c>
      <c r="L66" s="67"/>
      <c r="M66" s="129"/>
    </row>
    <row r="67" spans="1:13" ht="17.399999999999999" x14ac:dyDescent="0.3">
      <c r="A67" s="119"/>
      <c r="B67" s="90"/>
      <c r="C67" s="68">
        <v>3063.5</v>
      </c>
      <c r="D67" s="68">
        <v>2228.35</v>
      </c>
      <c r="E67" s="293"/>
      <c r="F67" s="110"/>
      <c r="G67" s="89"/>
      <c r="H67" s="90"/>
      <c r="I67" s="68">
        <v>40</v>
      </c>
      <c r="J67" s="68" t="s">
        <v>26</v>
      </c>
      <c r="K67" s="73"/>
      <c r="L67" s="70"/>
      <c r="M67" s="2"/>
    </row>
    <row r="68" spans="1:13" ht="17.399999999999999" x14ac:dyDescent="0.25">
      <c r="A68" s="122" t="s">
        <v>20</v>
      </c>
      <c r="B68" s="95">
        <v>396</v>
      </c>
      <c r="C68" s="68">
        <v>1731</v>
      </c>
      <c r="D68" s="68">
        <v>1037.17</v>
      </c>
      <c r="E68" s="293">
        <v>1.22994568155423</v>
      </c>
      <c r="F68" s="67"/>
      <c r="G68" s="94" t="s">
        <v>20</v>
      </c>
      <c r="H68" s="95">
        <v>396</v>
      </c>
      <c r="I68" s="68">
        <v>44.5</v>
      </c>
      <c r="J68" s="68" t="s">
        <v>26</v>
      </c>
      <c r="K68" s="535">
        <v>0</v>
      </c>
      <c r="L68" s="67"/>
      <c r="M68" s="129"/>
    </row>
    <row r="69" spans="1:13" ht="17.399999999999999" x14ac:dyDescent="0.3">
      <c r="A69" s="122"/>
      <c r="B69" s="90"/>
      <c r="C69" s="68">
        <v>1793.5</v>
      </c>
      <c r="D69" s="68">
        <v>1089.6600000000001</v>
      </c>
      <c r="E69" s="293"/>
      <c r="F69" s="110"/>
      <c r="G69" s="94"/>
      <c r="H69" s="90"/>
      <c r="I69" s="68">
        <v>50</v>
      </c>
      <c r="J69" s="68" t="s">
        <v>26</v>
      </c>
      <c r="K69" s="69"/>
      <c r="L69" s="70"/>
      <c r="M69" s="2"/>
    </row>
    <row r="70" spans="1:13" ht="17.399999999999999" x14ac:dyDescent="0.25">
      <c r="A70" s="122" t="s">
        <v>20</v>
      </c>
      <c r="B70" s="95">
        <v>405</v>
      </c>
      <c r="C70" s="68">
        <v>2899</v>
      </c>
      <c r="D70" s="68">
        <v>2074.2199999999998</v>
      </c>
      <c r="E70" s="293">
        <v>1.94819360178797</v>
      </c>
      <c r="F70" s="67"/>
      <c r="G70" s="94" t="s">
        <v>20</v>
      </c>
      <c r="H70" s="95">
        <v>405</v>
      </c>
      <c r="I70" s="68">
        <v>55</v>
      </c>
      <c r="J70" s="68" t="s">
        <v>26</v>
      </c>
      <c r="K70" s="535">
        <v>0</v>
      </c>
      <c r="L70" s="67"/>
      <c r="M70" s="129" t="s">
        <v>28</v>
      </c>
    </row>
    <row r="71" spans="1:13" ht="17.399999999999999" x14ac:dyDescent="0.3">
      <c r="A71" s="123"/>
      <c r="B71" s="90"/>
      <c r="C71" s="68">
        <v>2476</v>
      </c>
      <c r="D71" s="68">
        <v>1686.21</v>
      </c>
      <c r="E71" s="293"/>
      <c r="F71" s="87"/>
      <c r="G71" s="96"/>
      <c r="H71" s="90"/>
      <c r="I71" s="68">
        <v>65.5</v>
      </c>
      <c r="J71" s="68" t="s">
        <v>26</v>
      </c>
      <c r="K71" s="71"/>
      <c r="L71" s="70"/>
      <c r="M71" s="129"/>
    </row>
    <row r="72" spans="1:13" ht="17.399999999999999" x14ac:dyDescent="0.25">
      <c r="A72" s="122" t="s">
        <v>20</v>
      </c>
      <c r="B72" s="95">
        <v>461</v>
      </c>
      <c r="C72" s="68">
        <v>1064.5</v>
      </c>
      <c r="D72" s="68">
        <v>506.51</v>
      </c>
      <c r="E72" s="293">
        <v>0.76011795363211898</v>
      </c>
      <c r="F72" s="67"/>
      <c r="G72" s="94" t="s">
        <v>20</v>
      </c>
      <c r="H72" s="95">
        <v>461</v>
      </c>
      <c r="I72" s="68">
        <v>34.5</v>
      </c>
      <c r="J72" s="68" t="s">
        <v>26</v>
      </c>
      <c r="K72" s="535">
        <v>0</v>
      </c>
      <c r="L72" s="67"/>
      <c r="M72" s="129"/>
    </row>
    <row r="73" spans="1:13" ht="18" thickBot="1" x14ac:dyDescent="0.3">
      <c r="A73" s="124"/>
      <c r="B73" s="90"/>
      <c r="C73" s="68">
        <v>1281</v>
      </c>
      <c r="D73" s="68">
        <v>672.33</v>
      </c>
      <c r="E73" s="293"/>
      <c r="F73" s="110"/>
      <c r="G73" s="97"/>
      <c r="H73" s="90"/>
      <c r="I73" s="68">
        <v>33</v>
      </c>
      <c r="J73" s="68" t="s">
        <v>26</v>
      </c>
      <c r="K73" s="69"/>
      <c r="L73" s="87"/>
      <c r="M73" s="130"/>
    </row>
    <row r="74" spans="1:13" ht="13.8" x14ac:dyDescent="0.25">
      <c r="A74" s="122" t="s">
        <v>20</v>
      </c>
      <c r="B74" s="95">
        <v>587</v>
      </c>
      <c r="C74" s="68">
        <v>2085</v>
      </c>
      <c r="D74" s="68">
        <v>1339.5</v>
      </c>
      <c r="E74" s="572">
        <v>1.45281499018085</v>
      </c>
      <c r="F74" s="570">
        <f>AVERAGE(E59:E74)</f>
        <v>1.261504724500299</v>
      </c>
      <c r="G74" s="94" t="s">
        <v>20</v>
      </c>
      <c r="H74" s="95">
        <v>587</v>
      </c>
      <c r="I74" s="68">
        <v>31.5</v>
      </c>
      <c r="J74" s="68" t="s">
        <v>26</v>
      </c>
      <c r="K74" s="535">
        <v>0</v>
      </c>
      <c r="L74" s="570">
        <f>AVERAGE(K60:K74)</f>
        <v>0</v>
      </c>
      <c r="M74" s="129"/>
    </row>
    <row r="75" spans="1:13" ht="14.4" thickBot="1" x14ac:dyDescent="0.3">
      <c r="A75" s="125"/>
      <c r="B75" s="98"/>
      <c r="C75" s="78">
        <v>2013.5</v>
      </c>
      <c r="D75" s="78">
        <v>1277.48</v>
      </c>
      <c r="E75" s="573"/>
      <c r="F75" s="571">
        <f>STDEV(E60:E74)/SQRT(COUNT(E60:E74))</f>
        <v>0.18140997047900173</v>
      </c>
      <c r="G75" s="101"/>
      <c r="H75" s="93"/>
      <c r="I75" s="75">
        <v>34</v>
      </c>
      <c r="J75" s="75" t="s">
        <v>26</v>
      </c>
      <c r="K75" s="588"/>
      <c r="L75" s="571">
        <f>STDEV(K60:K74)/SQRT(COUNT(K60:K74))</f>
        <v>0</v>
      </c>
      <c r="M75" s="129" t="s">
        <v>28</v>
      </c>
    </row>
    <row r="76" spans="1:13" ht="17.399999999999999" x14ac:dyDescent="0.25">
      <c r="A76" s="126" t="s">
        <v>29</v>
      </c>
      <c r="B76" s="568">
        <v>716</v>
      </c>
      <c r="C76" s="66">
        <v>1122.5</v>
      </c>
      <c r="D76" s="66">
        <v>550.21</v>
      </c>
      <c r="E76" s="291">
        <v>0.55036387354518201</v>
      </c>
      <c r="F76" s="67"/>
      <c r="G76" s="586" t="s">
        <v>29</v>
      </c>
      <c r="H76" s="587">
        <v>716</v>
      </c>
      <c r="I76" s="77">
        <v>33.5</v>
      </c>
      <c r="J76" s="77" t="s">
        <v>26</v>
      </c>
      <c r="K76" s="535">
        <v>0</v>
      </c>
      <c r="L76" s="67"/>
      <c r="M76" s="129" t="s">
        <v>28</v>
      </c>
    </row>
    <row r="77" spans="1:13" ht="17.399999999999999" x14ac:dyDescent="0.25">
      <c r="A77" s="123"/>
      <c r="B77" s="90"/>
      <c r="C77" s="68">
        <v>727.5</v>
      </c>
      <c r="D77" s="68">
        <v>265.38</v>
      </c>
      <c r="E77" s="293"/>
      <c r="F77" s="110"/>
      <c r="G77" s="96"/>
      <c r="H77" s="90"/>
      <c r="I77" s="68">
        <v>24</v>
      </c>
      <c r="J77" s="68" t="s">
        <v>26</v>
      </c>
      <c r="K77" s="69"/>
      <c r="L77" s="129"/>
      <c r="M77" s="64"/>
    </row>
    <row r="78" spans="1:13" ht="17.399999999999999" x14ac:dyDescent="0.25">
      <c r="A78" s="122" t="s">
        <v>29</v>
      </c>
      <c r="B78" s="100">
        <v>714</v>
      </c>
      <c r="C78" s="68">
        <v>1114.5</v>
      </c>
      <c r="D78" s="68">
        <v>544.15</v>
      </c>
      <c r="E78" s="293">
        <v>0.73075180004511298</v>
      </c>
      <c r="F78" s="67"/>
      <c r="G78" s="94" t="s">
        <v>29</v>
      </c>
      <c r="H78" s="100">
        <v>714</v>
      </c>
      <c r="I78" s="68">
        <v>34</v>
      </c>
      <c r="J78" s="68" t="s">
        <v>26</v>
      </c>
      <c r="K78" s="535">
        <v>0</v>
      </c>
      <c r="L78" s="67"/>
      <c r="M78" s="129"/>
    </row>
    <row r="79" spans="1:13" ht="18" thickBot="1" x14ac:dyDescent="0.35">
      <c r="A79" s="124"/>
      <c r="B79" s="90"/>
      <c r="C79" s="68">
        <v>1160</v>
      </c>
      <c r="D79" s="68">
        <v>578.75</v>
      </c>
      <c r="E79" s="293"/>
      <c r="F79" s="110"/>
      <c r="G79" s="97"/>
      <c r="H79" s="90"/>
      <c r="I79" s="68">
        <v>27.5</v>
      </c>
      <c r="J79" s="68" t="s">
        <v>26</v>
      </c>
      <c r="K79" s="71"/>
      <c r="L79" s="70"/>
      <c r="M79" s="129"/>
    </row>
    <row r="80" spans="1:13" ht="13.8" x14ac:dyDescent="0.25">
      <c r="A80" s="122" t="s">
        <v>29</v>
      </c>
      <c r="B80" s="100">
        <v>713</v>
      </c>
      <c r="C80" s="68">
        <v>1100</v>
      </c>
      <c r="D80" s="68">
        <v>533.19000000000005</v>
      </c>
      <c r="E80" s="572">
        <v>0.610060633467851</v>
      </c>
      <c r="F80" s="574">
        <f>AVERAGE(E76:E80)</f>
        <v>0.63039210235271526</v>
      </c>
      <c r="G80" s="569" t="s">
        <v>29</v>
      </c>
      <c r="H80" s="100">
        <v>713</v>
      </c>
      <c r="I80" s="68">
        <v>38.5</v>
      </c>
      <c r="J80" s="68" t="s">
        <v>26</v>
      </c>
      <c r="K80" s="535">
        <v>0</v>
      </c>
      <c r="L80" s="576">
        <f>AVERAGE(K76:K80)</f>
        <v>0</v>
      </c>
      <c r="M80" s="129"/>
    </row>
    <row r="81" spans="1:13" ht="14.4" thickBot="1" x14ac:dyDescent="0.3">
      <c r="A81" s="127"/>
      <c r="B81" s="93"/>
      <c r="C81" s="75">
        <v>888</v>
      </c>
      <c r="D81" s="75">
        <v>377.23</v>
      </c>
      <c r="E81" s="565"/>
      <c r="F81" s="589">
        <f>STDEV(E76:E80)/SQRT(COUNT(E76:E80))</f>
        <v>5.305650282795487E-2</v>
      </c>
      <c r="G81" s="575"/>
      <c r="H81" s="93"/>
      <c r="I81" s="75">
        <v>27.5</v>
      </c>
      <c r="J81" s="75" t="s">
        <v>26</v>
      </c>
      <c r="K81" s="76"/>
      <c r="L81" s="590">
        <f>STDEV(K76:K80)/SQRT(COUNT(K76:K80))</f>
        <v>0</v>
      </c>
      <c r="M81" s="2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128"/>
  <sheetViews>
    <sheetView topLeftCell="A83" workbookViewId="0">
      <selection activeCell="L22" sqref="L22"/>
    </sheetView>
  </sheetViews>
  <sheetFormatPr defaultRowHeight="13.2" x14ac:dyDescent="0.25"/>
  <cols>
    <col min="1" max="1" width="9.77734375" customWidth="1"/>
    <col min="3" max="3" width="10.21875" bestFit="1" customWidth="1"/>
    <col min="4" max="4" width="18.21875" customWidth="1"/>
    <col min="8" max="8" width="11.21875" customWidth="1"/>
    <col min="11" max="11" width="19.21875" customWidth="1"/>
    <col min="12" max="12" width="12.21875" customWidth="1"/>
    <col min="13" max="13" width="12" customWidth="1"/>
    <col min="14" max="14" width="10.21875" customWidth="1"/>
    <col min="15" max="15" width="10.77734375" customWidth="1"/>
  </cols>
  <sheetData>
    <row r="1" spans="1:22" ht="13.8" thickBot="1" x14ac:dyDescent="0.3">
      <c r="A1" s="8" t="s">
        <v>1</v>
      </c>
    </row>
    <row r="2" spans="1:22" ht="16.2" thickBot="1" x14ac:dyDescent="0.35">
      <c r="A2" s="8" t="s">
        <v>14</v>
      </c>
      <c r="B2" s="5"/>
      <c r="C2" s="10"/>
      <c r="D2" s="9">
        <v>42446</v>
      </c>
    </row>
    <row r="3" spans="1:22" x14ac:dyDescent="0.25">
      <c r="A3" s="8" t="s">
        <v>2</v>
      </c>
      <c r="C3" s="3"/>
      <c r="K3" s="3"/>
    </row>
    <row r="4" spans="1:22" x14ac:dyDescent="0.25">
      <c r="A4" s="8" t="s">
        <v>3</v>
      </c>
    </row>
    <row r="5" spans="1:22" ht="13.8" thickBot="1" x14ac:dyDescent="0.3">
      <c r="F5" s="1" t="s">
        <v>5</v>
      </c>
      <c r="G5" s="1" t="s">
        <v>6</v>
      </c>
      <c r="H5" s="1" t="s">
        <v>7</v>
      </c>
    </row>
    <row r="6" spans="1:22" x14ac:dyDescent="0.25">
      <c r="A6">
        <v>1.4039999999999999</v>
      </c>
      <c r="B6">
        <v>400</v>
      </c>
      <c r="C6" s="24">
        <v>0.58199999999999996</v>
      </c>
      <c r="D6" s="6" t="s">
        <v>8</v>
      </c>
      <c r="E6" s="25">
        <f>AVERAGE(C6:C8)</f>
        <v>0.58199999999999996</v>
      </c>
      <c r="F6" s="25">
        <f>308.88*E6 - 36.513</f>
        <v>143.25515999999999</v>
      </c>
      <c r="G6" s="25">
        <v>74.274480000000011</v>
      </c>
      <c r="H6" s="52">
        <f>AVERAGE(F6:G6)</f>
        <v>108.76482</v>
      </c>
      <c r="T6" s="1"/>
      <c r="U6" s="1"/>
      <c r="V6" s="2"/>
    </row>
    <row r="7" spans="1:22" x14ac:dyDescent="0.25">
      <c r="A7">
        <v>1.4350000000000001</v>
      </c>
      <c r="B7">
        <v>400</v>
      </c>
      <c r="C7" s="26">
        <v>0.58199999999999996</v>
      </c>
      <c r="D7" s="4">
        <v>3320</v>
      </c>
      <c r="E7" s="21"/>
      <c r="F7" s="21"/>
      <c r="G7" s="21"/>
      <c r="H7" s="35"/>
      <c r="T7" s="1"/>
      <c r="U7" s="1"/>
      <c r="V7" s="2"/>
    </row>
    <row r="8" spans="1:22" ht="13.8" thickBot="1" x14ac:dyDescent="0.3">
      <c r="B8">
        <v>400</v>
      </c>
      <c r="C8" s="26"/>
      <c r="D8" s="23"/>
      <c r="E8" s="21"/>
      <c r="F8" s="21"/>
      <c r="G8" s="21"/>
      <c r="H8" s="35"/>
      <c r="T8" s="1"/>
      <c r="U8" s="1"/>
      <c r="V8" s="2"/>
    </row>
    <row r="9" spans="1:22" x14ac:dyDescent="0.25">
      <c r="A9">
        <v>0.65400000000000003</v>
      </c>
      <c r="B9">
        <v>200</v>
      </c>
      <c r="C9" s="26">
        <v>0.34300000000000003</v>
      </c>
      <c r="D9" s="6" t="s">
        <v>8</v>
      </c>
      <c r="E9" s="21">
        <f>AVERAGE(C9:C11)</f>
        <v>0.37050000000000005</v>
      </c>
      <c r="F9" s="21">
        <f>308.88*E9 - 36.513</f>
        <v>77.927040000000005</v>
      </c>
      <c r="G9" s="21">
        <v>39.842240000000011</v>
      </c>
      <c r="H9" s="35">
        <f>AVERAGE(F9:G9)</f>
        <v>58.884640000000005</v>
      </c>
      <c r="T9" s="1"/>
      <c r="U9" s="1"/>
      <c r="V9" s="2"/>
    </row>
    <row r="10" spans="1:22" ht="15.75" customHeight="1" x14ac:dyDescent="0.25">
      <c r="A10">
        <v>0.70199999999999996</v>
      </c>
      <c r="B10">
        <v>200</v>
      </c>
      <c r="C10" s="26">
        <v>0.39800000000000002</v>
      </c>
      <c r="D10" s="4">
        <v>3317</v>
      </c>
      <c r="E10" s="21"/>
      <c r="F10" s="21"/>
      <c r="G10" s="21"/>
      <c r="H10" s="35"/>
      <c r="T10" s="1"/>
      <c r="U10" s="1"/>
      <c r="V10" s="2"/>
    </row>
    <row r="11" spans="1:22" ht="13.8" thickBot="1" x14ac:dyDescent="0.3">
      <c r="B11">
        <v>200</v>
      </c>
      <c r="C11" s="26"/>
      <c r="D11" s="23"/>
      <c r="E11" s="21"/>
      <c r="F11" s="21"/>
      <c r="G11" s="21"/>
      <c r="H11" s="35"/>
      <c r="T11" s="1"/>
      <c r="U11" s="1"/>
      <c r="V11" s="2"/>
    </row>
    <row r="12" spans="1:22" x14ac:dyDescent="0.25">
      <c r="A12">
        <v>0.51500000000000001</v>
      </c>
      <c r="B12">
        <v>100</v>
      </c>
      <c r="C12" s="26">
        <v>0.68899999999999995</v>
      </c>
      <c r="D12" s="6" t="s">
        <v>8</v>
      </c>
      <c r="E12" s="21">
        <f>AVERAGE(C12:C14)</f>
        <v>0.72049999999999992</v>
      </c>
      <c r="F12" s="21">
        <f>308.88*E12 - 36.513</f>
        <v>186.03503999999995</v>
      </c>
      <c r="G12" s="21">
        <v>57.465039999999995</v>
      </c>
      <c r="H12" s="35">
        <f>AVERAGE(F12:G12)</f>
        <v>121.75003999999997</v>
      </c>
      <c r="T12" s="1"/>
      <c r="U12" s="1"/>
      <c r="V12" s="2"/>
    </row>
    <row r="13" spans="1:22" x14ac:dyDescent="0.25">
      <c r="A13">
        <v>0.52</v>
      </c>
      <c r="B13">
        <v>100</v>
      </c>
      <c r="C13" s="26">
        <v>0.752</v>
      </c>
      <c r="D13" s="4">
        <v>3318</v>
      </c>
      <c r="E13" s="21"/>
      <c r="F13" s="21"/>
      <c r="G13" s="21"/>
      <c r="H13" s="35"/>
      <c r="R13" s="1"/>
      <c r="T13" s="1"/>
      <c r="U13" s="1"/>
      <c r="V13" s="2"/>
    </row>
    <row r="14" spans="1:22" ht="13.8" thickBot="1" x14ac:dyDescent="0.3">
      <c r="B14">
        <v>100</v>
      </c>
      <c r="C14" s="26"/>
      <c r="D14" s="23"/>
      <c r="E14" s="21"/>
      <c r="F14" s="21"/>
      <c r="G14" s="21"/>
      <c r="H14" s="35"/>
      <c r="T14" s="1"/>
      <c r="U14" s="1"/>
      <c r="V14" s="2"/>
    </row>
    <row r="15" spans="1:22" x14ac:dyDescent="0.25">
      <c r="A15">
        <v>0.32100000000000001</v>
      </c>
      <c r="B15">
        <v>50</v>
      </c>
      <c r="C15" s="26">
        <v>0.78600000000000003</v>
      </c>
      <c r="D15" s="6" t="s">
        <v>8</v>
      </c>
      <c r="E15" s="21">
        <f>AVERAGE(C15:C17)</f>
        <v>0.79200000000000004</v>
      </c>
      <c r="F15" s="21">
        <f>308.88*E15 - 36.513</f>
        <v>208.11995999999999</v>
      </c>
      <c r="G15" s="21">
        <v>94.201799999999992</v>
      </c>
      <c r="H15" s="35">
        <f>AVERAGE(F15:G15)</f>
        <v>151.16087999999999</v>
      </c>
      <c r="R15" s="1"/>
      <c r="T15" s="1"/>
      <c r="U15" s="1"/>
      <c r="V15" s="2"/>
    </row>
    <row r="16" spans="1:22" x14ac:dyDescent="0.25">
      <c r="A16">
        <v>0.32700000000000001</v>
      </c>
      <c r="B16">
        <v>50</v>
      </c>
      <c r="C16" s="26">
        <v>0.79800000000000004</v>
      </c>
      <c r="D16" s="4">
        <v>8423</v>
      </c>
      <c r="E16" s="21"/>
      <c r="F16" s="21"/>
      <c r="G16" s="21"/>
      <c r="H16" s="35"/>
      <c r="R16" s="1"/>
      <c r="T16" s="1"/>
      <c r="U16" s="1"/>
      <c r="V16" s="2"/>
    </row>
    <row r="17" spans="1:22" ht="13.8" thickBot="1" x14ac:dyDescent="0.3">
      <c r="B17">
        <v>50</v>
      </c>
      <c r="C17" s="26"/>
      <c r="D17" s="23"/>
      <c r="E17" s="21"/>
      <c r="F17" s="21"/>
      <c r="G17" s="21"/>
      <c r="H17" s="35"/>
      <c r="T17" s="1"/>
      <c r="U17" s="1"/>
      <c r="V17" s="2"/>
    </row>
    <row r="18" spans="1:22" x14ac:dyDescent="0.25">
      <c r="A18">
        <v>0.20499999999999999</v>
      </c>
      <c r="B18">
        <v>25</v>
      </c>
      <c r="C18" s="26">
        <v>0.56599999999999995</v>
      </c>
      <c r="D18" s="6" t="s">
        <v>8</v>
      </c>
      <c r="E18" s="21">
        <f>AVERAGE(C18:C20)</f>
        <v>0.58149999999999991</v>
      </c>
      <c r="F18" s="21">
        <f>308.88*E18 - 36.513</f>
        <v>143.10071999999997</v>
      </c>
      <c r="G18" s="21">
        <v>89.186080000000004</v>
      </c>
      <c r="H18" s="35">
        <f>AVERAGE(F18:G18)</f>
        <v>116.14339999999999</v>
      </c>
      <c r="R18" s="1"/>
      <c r="T18" s="1"/>
      <c r="U18" s="1"/>
      <c r="V18" s="2"/>
    </row>
    <row r="19" spans="1:22" ht="13.8" thickBot="1" x14ac:dyDescent="0.3">
      <c r="A19">
        <v>0.20300000000000001</v>
      </c>
      <c r="B19">
        <v>25</v>
      </c>
      <c r="C19" s="26">
        <v>0.59699999999999998</v>
      </c>
      <c r="D19" s="4">
        <v>8493</v>
      </c>
      <c r="H19" s="134"/>
      <c r="T19" s="1"/>
      <c r="U19" s="1"/>
      <c r="V19" s="2"/>
    </row>
    <row r="20" spans="1:22" ht="13.8" thickBot="1" x14ac:dyDescent="0.3">
      <c r="B20">
        <v>25</v>
      </c>
      <c r="C20" s="26"/>
      <c r="D20" s="23"/>
      <c r="E20" s="21"/>
      <c r="F20" s="21"/>
      <c r="G20" s="21"/>
      <c r="H20" s="35"/>
      <c r="L20" s="38" t="s">
        <v>12</v>
      </c>
      <c r="M20" s="39" t="s">
        <v>13</v>
      </c>
      <c r="N20" s="51"/>
      <c r="O20" s="51"/>
      <c r="T20" s="1"/>
      <c r="U20" s="1"/>
      <c r="V20" s="2"/>
    </row>
    <row r="21" spans="1:22" ht="13.8" thickBot="1" x14ac:dyDescent="0.3">
      <c r="A21">
        <v>0.14699999999999999</v>
      </c>
      <c r="B21">
        <v>12.5</v>
      </c>
      <c r="C21" s="26">
        <v>0.72399999999999998</v>
      </c>
      <c r="D21" s="6" t="s">
        <v>8</v>
      </c>
      <c r="E21" s="21">
        <f>AVERAGE(C21:C23)</f>
        <v>0.747</v>
      </c>
      <c r="F21" s="21">
        <f>308.88*E21 - 36.513</f>
        <v>194.22036</v>
      </c>
      <c r="G21" s="21">
        <v>87.152680000000004</v>
      </c>
      <c r="H21" s="35">
        <f>AVERAGE(F21:G21)</f>
        <v>140.68652</v>
      </c>
      <c r="K21" s="19" t="s">
        <v>8</v>
      </c>
      <c r="L21" s="135">
        <f>AVERAGE(H6:H24)</f>
        <v>116.30260285714287</v>
      </c>
      <c r="M21" s="135">
        <f>STDEV(H6:H24)/SQRT(COUNT(H6:H24))</f>
        <v>11.119691179883072</v>
      </c>
      <c r="N21" s="104"/>
      <c r="O21" s="135"/>
      <c r="T21" s="1"/>
      <c r="U21" s="1"/>
      <c r="V21" s="2"/>
    </row>
    <row r="22" spans="1:22" ht="13.8" thickBot="1" x14ac:dyDescent="0.3">
      <c r="A22">
        <v>0.14199999999999999</v>
      </c>
      <c r="B22">
        <v>12.5</v>
      </c>
      <c r="C22" s="26">
        <v>0.77</v>
      </c>
      <c r="D22" s="4">
        <v>8909</v>
      </c>
      <c r="E22" s="21"/>
      <c r="F22" s="21"/>
      <c r="G22" s="21"/>
      <c r="H22" s="35"/>
      <c r="K22" s="1"/>
      <c r="L22" s="135"/>
      <c r="M22" s="135"/>
      <c r="T22" s="1"/>
      <c r="U22" s="1"/>
      <c r="V22" s="2"/>
    </row>
    <row r="23" spans="1:22" ht="13.8" thickBot="1" x14ac:dyDescent="0.3">
      <c r="B23">
        <v>12.5</v>
      </c>
      <c r="C23" s="26"/>
      <c r="D23" s="23"/>
      <c r="E23" s="21"/>
      <c r="F23" s="21"/>
      <c r="G23" s="21"/>
      <c r="H23" s="35"/>
      <c r="K23" s="18" t="s">
        <v>9</v>
      </c>
      <c r="L23" s="135">
        <f>AVERAGE(H27:H48)</f>
        <v>152.5095125</v>
      </c>
      <c r="M23" s="135">
        <f>STDEV(H27:H48)/SQRT(COUNT(H27:H48))</f>
        <v>7.6491163260077801</v>
      </c>
      <c r="N23" s="104"/>
      <c r="O23" s="135"/>
      <c r="T23" s="1"/>
      <c r="U23" s="1"/>
      <c r="V23" s="2"/>
    </row>
    <row r="24" spans="1:22" ht="13.8" thickBot="1" x14ac:dyDescent="0.3">
      <c r="A24">
        <v>8.7999999999999995E-2</v>
      </c>
      <c r="B24">
        <v>0</v>
      </c>
      <c r="C24" s="26">
        <v>0.64</v>
      </c>
      <c r="D24" s="6" t="s">
        <v>8</v>
      </c>
      <c r="E24" s="21">
        <f>AVERAGE(C24:C26)</f>
        <v>0.63400000000000001</v>
      </c>
      <c r="F24" s="21">
        <f>308.88*E24 - 36.513</f>
        <v>159.31691999999998</v>
      </c>
      <c r="G24" s="21">
        <v>74.138920000000013</v>
      </c>
      <c r="H24" s="35">
        <f>AVERAGE(F24:G24)</f>
        <v>116.72792</v>
      </c>
      <c r="K24" s="51"/>
      <c r="L24" s="135"/>
      <c r="M24" s="135"/>
      <c r="T24" s="1"/>
      <c r="U24" s="1"/>
      <c r="V24" s="2"/>
    </row>
    <row r="25" spans="1:22" ht="13.8" thickBot="1" x14ac:dyDescent="0.3">
      <c r="A25">
        <v>9.0999999999999998E-2</v>
      </c>
      <c r="B25">
        <v>0</v>
      </c>
      <c r="C25" s="26">
        <v>0.628</v>
      </c>
      <c r="D25" s="4">
        <v>8911</v>
      </c>
      <c r="E25" s="21"/>
      <c r="F25" s="21"/>
      <c r="G25" s="21"/>
      <c r="H25" s="35"/>
      <c r="K25" s="17" t="s">
        <v>10</v>
      </c>
      <c r="L25" s="135">
        <f>AVERAGE(H51:H75)</f>
        <v>110.78558444444444</v>
      </c>
      <c r="M25" s="135">
        <f>STDEV(H51:H75)/SQRT(COUNT(H51:H75))</f>
        <v>7.5316816614254849</v>
      </c>
      <c r="T25" s="1"/>
      <c r="U25" s="1"/>
      <c r="V25" s="2"/>
    </row>
    <row r="26" spans="1:22" ht="13.8" thickBot="1" x14ac:dyDescent="0.3">
      <c r="B26">
        <v>0</v>
      </c>
      <c r="C26" s="27"/>
      <c r="D26" s="28"/>
      <c r="E26" s="29"/>
      <c r="F26" s="29"/>
      <c r="G26" s="29"/>
      <c r="H26" s="36"/>
      <c r="L26" s="135"/>
      <c r="M26" s="135"/>
      <c r="T26" s="1"/>
      <c r="U26" s="1"/>
      <c r="V26" s="2"/>
    </row>
    <row r="27" spans="1:22" ht="13.8" thickBot="1" x14ac:dyDescent="0.3">
      <c r="C27" s="42">
        <v>0.98299999999999998</v>
      </c>
      <c r="D27" s="33" t="s">
        <v>9</v>
      </c>
      <c r="E27" s="43">
        <f>AVERAGE(C27:C29)</f>
        <v>0.96649999999999991</v>
      </c>
      <c r="F27" s="21">
        <f>308.88*E27 - 36.513</f>
        <v>262.01952</v>
      </c>
      <c r="G27" s="21">
        <v>100.70868000000002</v>
      </c>
      <c r="H27" s="35">
        <f>AVERAGE(F27:G27)</f>
        <v>181.36410000000001</v>
      </c>
      <c r="K27" s="16" t="s">
        <v>11</v>
      </c>
      <c r="L27" s="135">
        <f>AVERAGE(H78:H105)</f>
        <v>168.30661941666671</v>
      </c>
      <c r="M27" s="135">
        <f>STDEV(H78:H105)/SQRT(COUNT(H78:H105))</f>
        <v>4.4122489264718725</v>
      </c>
      <c r="T27" s="1"/>
      <c r="U27" s="1"/>
      <c r="V27" s="2"/>
    </row>
    <row r="28" spans="1:22" ht="13.8" thickBot="1" x14ac:dyDescent="0.3">
      <c r="C28" s="42">
        <v>0.95</v>
      </c>
      <c r="D28" s="33">
        <v>8910</v>
      </c>
      <c r="E28" s="43"/>
      <c r="F28" s="21"/>
      <c r="G28" s="21"/>
      <c r="H28" s="35"/>
      <c r="L28" s="135"/>
      <c r="M28" s="135"/>
      <c r="T28" s="1"/>
      <c r="U28" s="1"/>
      <c r="V28" s="2"/>
    </row>
    <row r="29" spans="1:22" ht="13.8" thickBot="1" x14ac:dyDescent="0.3">
      <c r="C29" s="42"/>
      <c r="D29" s="23"/>
      <c r="E29" s="43"/>
      <c r="F29" s="21"/>
      <c r="G29" s="21"/>
      <c r="H29" s="35"/>
      <c r="K29" s="15" t="s">
        <v>4</v>
      </c>
      <c r="L29" s="135">
        <f>AVERAGE(H108:H120)</f>
        <v>98.471779999999995</v>
      </c>
      <c r="M29" s="135">
        <f>STDEV(H108:H122)/SQRT(COUNT(H108:H122))</f>
        <v>4.3933539685711613</v>
      </c>
      <c r="T29" s="1"/>
      <c r="U29" s="1"/>
      <c r="V29" s="2"/>
    </row>
    <row r="30" spans="1:22" x14ac:dyDescent="0.25">
      <c r="C30" s="42">
        <v>0.753</v>
      </c>
      <c r="D30" s="33" t="s">
        <v>9</v>
      </c>
      <c r="E30" s="43">
        <f>AVERAGE(C30:C32)</f>
        <v>0.74350000000000005</v>
      </c>
      <c r="F30" s="21">
        <f>308.88*E30 - 36.513</f>
        <v>193.13928000000001</v>
      </c>
      <c r="G30" s="21">
        <v>83.356999999999999</v>
      </c>
      <c r="H30" s="35">
        <f>AVERAGE(F30:G30)</f>
        <v>138.24814000000001</v>
      </c>
      <c r="T30" s="1"/>
      <c r="U30" s="1"/>
      <c r="V30" s="2"/>
    </row>
    <row r="31" spans="1:22" x14ac:dyDescent="0.25">
      <c r="C31" s="42">
        <v>0.73399999999999999</v>
      </c>
      <c r="D31" s="33">
        <v>8903</v>
      </c>
      <c r="E31" s="43"/>
      <c r="F31" s="21"/>
      <c r="G31" s="21"/>
      <c r="H31" s="35"/>
      <c r="K31" s="51"/>
      <c r="T31" s="1"/>
      <c r="U31" s="1"/>
      <c r="V31" s="2"/>
    </row>
    <row r="32" spans="1:22" x14ac:dyDescent="0.25">
      <c r="C32" s="42"/>
      <c r="D32" s="23"/>
      <c r="E32" s="43"/>
      <c r="F32" s="21"/>
      <c r="G32" s="21"/>
      <c r="H32" s="35"/>
      <c r="T32" s="1"/>
      <c r="U32" s="1"/>
      <c r="V32" s="2"/>
    </row>
    <row r="33" spans="3:22" x14ac:dyDescent="0.25">
      <c r="C33" s="42">
        <v>0.90600000000000003</v>
      </c>
      <c r="D33" s="33" t="s">
        <v>9</v>
      </c>
      <c r="E33" s="43">
        <f>AVERAGE(C33:C35)</f>
        <v>0.90149999999999997</v>
      </c>
      <c r="F33" s="21">
        <f>308.88*E33 - 36.513</f>
        <v>241.94231999999997</v>
      </c>
      <c r="G33" s="21">
        <v>96.777439999999984</v>
      </c>
      <c r="H33" s="35">
        <f>AVERAGE(F33:G33)</f>
        <v>169.35987999999998</v>
      </c>
      <c r="T33" s="1"/>
      <c r="U33" s="1"/>
      <c r="V33" s="2"/>
    </row>
    <row r="34" spans="3:22" x14ac:dyDescent="0.25">
      <c r="C34" s="42">
        <v>0.89700000000000002</v>
      </c>
      <c r="D34" s="33">
        <v>3607</v>
      </c>
      <c r="E34" s="43"/>
      <c r="F34" s="21"/>
      <c r="G34" s="21"/>
      <c r="H34" s="35"/>
      <c r="T34" s="1"/>
      <c r="U34" s="1"/>
      <c r="V34" s="2"/>
    </row>
    <row r="35" spans="3:22" x14ac:dyDescent="0.25">
      <c r="C35" s="42"/>
      <c r="D35" s="23"/>
      <c r="E35" s="43"/>
      <c r="F35" s="21"/>
      <c r="G35" s="21"/>
      <c r="H35" s="35"/>
      <c r="T35" s="1"/>
      <c r="U35" s="1"/>
      <c r="V35" s="2"/>
    </row>
    <row r="36" spans="3:22" x14ac:dyDescent="0.25">
      <c r="C36" s="42">
        <v>0.61099999999999999</v>
      </c>
      <c r="D36" s="33" t="s">
        <v>9</v>
      </c>
      <c r="E36" s="43">
        <f>AVERAGE(C36:C38)</f>
        <v>0.64500000000000002</v>
      </c>
      <c r="F36" s="21">
        <f>308.88*E36 - 36.513</f>
        <v>162.71459999999999</v>
      </c>
      <c r="G36" s="21">
        <v>77.256799999999998</v>
      </c>
      <c r="H36" s="35">
        <f>AVERAGE(F36:G36)</f>
        <v>119.98569999999999</v>
      </c>
      <c r="T36" s="1"/>
      <c r="U36" s="1"/>
      <c r="V36" s="2"/>
    </row>
    <row r="37" spans="3:22" x14ac:dyDescent="0.25">
      <c r="C37" s="42">
        <v>0.67900000000000005</v>
      </c>
      <c r="D37" s="33">
        <v>3507</v>
      </c>
      <c r="E37" s="43"/>
      <c r="F37" s="21"/>
      <c r="G37" s="21"/>
      <c r="H37" s="35"/>
      <c r="T37" s="1"/>
      <c r="U37" s="1"/>
      <c r="V37" s="2"/>
    </row>
    <row r="38" spans="3:22" x14ac:dyDescent="0.25">
      <c r="C38" s="42"/>
      <c r="D38" s="23"/>
      <c r="E38" s="43"/>
      <c r="F38" s="21"/>
      <c r="G38" s="21"/>
      <c r="H38" s="35"/>
      <c r="T38" s="1"/>
      <c r="U38" s="1"/>
      <c r="V38" s="2"/>
    </row>
    <row r="39" spans="3:22" x14ac:dyDescent="0.25">
      <c r="C39" s="42">
        <v>0.90500000000000003</v>
      </c>
      <c r="D39" s="33" t="s">
        <v>9</v>
      </c>
      <c r="E39" s="43">
        <f>AVERAGE(C39:C41)</f>
        <v>0.89300000000000002</v>
      </c>
      <c r="F39" s="21">
        <f>308.88*E39 - 36.513</f>
        <v>239.31683999999998</v>
      </c>
      <c r="G39" s="21">
        <v>98.268599999999992</v>
      </c>
      <c r="H39" s="35">
        <f>AVERAGE(F39:G39)</f>
        <v>168.79271999999997</v>
      </c>
      <c r="T39" s="1"/>
      <c r="U39" s="1"/>
      <c r="V39" s="2"/>
    </row>
    <row r="40" spans="3:22" x14ac:dyDescent="0.25">
      <c r="C40" s="42">
        <v>0.88100000000000001</v>
      </c>
      <c r="D40" s="33">
        <v>8609</v>
      </c>
      <c r="E40" s="43"/>
      <c r="F40" s="21"/>
      <c r="G40" s="21"/>
      <c r="H40" s="35"/>
      <c r="R40" s="1"/>
      <c r="T40" s="1"/>
      <c r="U40" s="1"/>
      <c r="V40" s="2"/>
    </row>
    <row r="41" spans="3:22" x14ac:dyDescent="0.25">
      <c r="C41" s="42"/>
      <c r="D41" s="23"/>
      <c r="E41" s="43"/>
      <c r="F41" s="21"/>
      <c r="G41" s="21"/>
      <c r="H41" s="35"/>
      <c r="T41" s="1"/>
      <c r="U41" s="1"/>
      <c r="V41" s="2"/>
    </row>
    <row r="42" spans="3:22" x14ac:dyDescent="0.25">
      <c r="C42" s="42">
        <v>0.91200000000000003</v>
      </c>
      <c r="D42" s="33" t="s">
        <v>9</v>
      </c>
      <c r="E42" s="43">
        <f>AVERAGE(C42:C44)</f>
        <v>0.90949999999999998</v>
      </c>
      <c r="F42" s="21">
        <f>308.88*E42 - 36.513</f>
        <v>244.41335999999998</v>
      </c>
      <c r="G42" s="21">
        <v>86.881560000000007</v>
      </c>
      <c r="H42" s="35">
        <f>AVERAGE(F42:G42)</f>
        <v>165.64746</v>
      </c>
      <c r="R42" s="1"/>
      <c r="T42" s="1"/>
      <c r="U42" s="1"/>
      <c r="V42" s="2"/>
    </row>
    <row r="43" spans="3:22" x14ac:dyDescent="0.25">
      <c r="C43" s="42">
        <v>0.90700000000000003</v>
      </c>
      <c r="D43" s="33">
        <v>8902</v>
      </c>
      <c r="E43" s="43"/>
      <c r="F43" s="21"/>
      <c r="G43" s="21"/>
      <c r="H43" s="35"/>
      <c r="T43" s="1"/>
      <c r="U43" s="1"/>
      <c r="V43" s="2"/>
    </row>
    <row r="44" spans="3:22" x14ac:dyDescent="0.25">
      <c r="C44" s="42"/>
      <c r="D44" s="23"/>
      <c r="E44" s="43"/>
      <c r="F44" s="21"/>
      <c r="G44" s="21"/>
      <c r="H44" s="35"/>
    </row>
    <row r="45" spans="3:22" x14ac:dyDescent="0.25">
      <c r="C45" s="42">
        <v>0.74</v>
      </c>
      <c r="D45" s="33" t="s">
        <v>9</v>
      </c>
      <c r="E45" s="43">
        <f>AVERAGE(C45:C47)</f>
        <v>0.69650000000000001</v>
      </c>
      <c r="F45" s="21">
        <f>308.88*E45 - 36.513</f>
        <v>178.62191999999999</v>
      </c>
      <c r="G45" s="21">
        <v>87.152680000000004</v>
      </c>
      <c r="H45" s="35">
        <f>AVERAGE(F45:G45)</f>
        <v>132.88729999999998</v>
      </c>
    </row>
    <row r="46" spans="3:22" x14ac:dyDescent="0.25">
      <c r="C46" s="42">
        <v>0.65300000000000002</v>
      </c>
      <c r="D46" s="33">
        <v>8619</v>
      </c>
      <c r="E46" s="43"/>
      <c r="F46" s="21"/>
      <c r="G46" s="21"/>
      <c r="H46" s="35"/>
    </row>
    <row r="47" spans="3:22" x14ac:dyDescent="0.25">
      <c r="C47" s="42"/>
      <c r="D47" s="23"/>
      <c r="E47" s="43"/>
      <c r="F47" s="21"/>
      <c r="G47" s="21"/>
      <c r="H47" s="35"/>
    </row>
    <row r="48" spans="3:22" x14ac:dyDescent="0.25">
      <c r="C48" s="42">
        <v>0.67500000000000004</v>
      </c>
      <c r="D48" s="33" t="s">
        <v>9</v>
      </c>
      <c r="E48" s="43">
        <f>AVERAGE(C48:C50)</f>
        <v>0.77500000000000002</v>
      </c>
      <c r="F48" s="21">
        <f>308.88*E48 - 36.513</f>
        <v>202.869</v>
      </c>
      <c r="G48" s="21">
        <v>84.712600000000009</v>
      </c>
      <c r="H48" s="35">
        <f>AVERAGE(F48:G48)</f>
        <v>143.79079999999999</v>
      </c>
    </row>
    <row r="49" spans="2:19" x14ac:dyDescent="0.25">
      <c r="C49" s="42">
        <v>0.875</v>
      </c>
      <c r="D49" s="33">
        <v>3431</v>
      </c>
      <c r="E49" s="43"/>
      <c r="F49" s="21"/>
      <c r="G49" s="21"/>
      <c r="H49" s="35"/>
    </row>
    <row r="50" spans="2:19" ht="13.8" thickBot="1" x14ac:dyDescent="0.3">
      <c r="C50" s="47"/>
      <c r="D50" s="28"/>
      <c r="E50" s="48"/>
      <c r="F50" s="29"/>
      <c r="G50" s="29"/>
      <c r="H50" s="36"/>
    </row>
    <row r="51" spans="2:19" x14ac:dyDescent="0.25">
      <c r="C51" s="40">
        <v>0.83899999999999997</v>
      </c>
      <c r="D51" s="11" t="s">
        <v>10</v>
      </c>
      <c r="E51" s="41">
        <f>AVERAGE(C51:C53)</f>
        <v>0.84250000000000003</v>
      </c>
      <c r="F51" s="25">
        <f>308.88*E51 - 36.513</f>
        <v>223.7184</v>
      </c>
      <c r="G51" s="25">
        <v>84.848160000000007</v>
      </c>
      <c r="H51" s="52">
        <f>AVERAGE(F51:G51)</f>
        <v>154.28327999999999</v>
      </c>
    </row>
    <row r="52" spans="2:19" x14ac:dyDescent="0.25">
      <c r="B52" t="s">
        <v>0</v>
      </c>
      <c r="C52" s="42">
        <v>0.84599999999999997</v>
      </c>
      <c r="D52" s="12">
        <v>8611</v>
      </c>
      <c r="E52" s="43"/>
      <c r="F52" s="21"/>
      <c r="G52" s="21"/>
      <c r="H52" s="35"/>
      <c r="S52" s="3"/>
    </row>
    <row r="53" spans="2:19" x14ac:dyDescent="0.25">
      <c r="C53" s="42"/>
      <c r="D53" s="23"/>
      <c r="E53" s="43"/>
      <c r="F53" s="21"/>
      <c r="G53" s="21"/>
      <c r="H53" s="35"/>
      <c r="L53" s="1"/>
      <c r="M53" s="1"/>
      <c r="N53" s="1"/>
      <c r="P53" s="1"/>
      <c r="Q53" s="1"/>
      <c r="R53" s="1"/>
    </row>
    <row r="54" spans="2:19" x14ac:dyDescent="0.25">
      <c r="C54" s="42">
        <v>0.58099999999999996</v>
      </c>
      <c r="D54" s="12" t="s">
        <v>10</v>
      </c>
      <c r="E54" s="43">
        <f>AVERAGE(C54:C56)</f>
        <v>0.57499999999999996</v>
      </c>
      <c r="F54" s="21">
        <f>308.88*E54 - 36.513</f>
        <v>141.09299999999999</v>
      </c>
      <c r="G54" s="21">
        <v>68.852080000000001</v>
      </c>
      <c r="H54" s="35">
        <f>AVERAGE(F54:G54)</f>
        <v>104.97254</v>
      </c>
      <c r="K54" s="1"/>
      <c r="L54" s="1"/>
      <c r="M54" s="1"/>
      <c r="N54" s="1"/>
      <c r="O54" s="1"/>
      <c r="P54" s="1"/>
      <c r="Q54" s="1"/>
      <c r="R54" s="1"/>
    </row>
    <row r="55" spans="2:19" x14ac:dyDescent="0.25">
      <c r="C55" s="42">
        <v>0.56899999999999995</v>
      </c>
      <c r="D55" s="12">
        <v>8823</v>
      </c>
      <c r="E55" s="43"/>
      <c r="F55" s="21"/>
      <c r="G55" s="21"/>
      <c r="H55" s="35"/>
      <c r="K55" s="1"/>
      <c r="L55" s="1"/>
      <c r="M55" s="1"/>
      <c r="N55" s="1"/>
      <c r="O55" s="1"/>
      <c r="P55" s="1"/>
      <c r="Q55" s="1"/>
      <c r="R55" s="1"/>
    </row>
    <row r="56" spans="2:19" x14ac:dyDescent="0.25">
      <c r="C56" s="42"/>
      <c r="D56" s="23"/>
      <c r="E56" s="43"/>
      <c r="F56" s="21"/>
      <c r="G56" s="21"/>
      <c r="H56" s="35"/>
      <c r="K56" s="1"/>
      <c r="L56" s="1"/>
      <c r="M56" s="1"/>
      <c r="N56" s="1"/>
      <c r="O56" s="1"/>
    </row>
    <row r="57" spans="2:19" x14ac:dyDescent="0.25">
      <c r="C57" s="42">
        <v>0.61499999999999999</v>
      </c>
      <c r="D57" s="12" t="s">
        <v>10</v>
      </c>
      <c r="E57" s="43">
        <f>AVERAGE(C57:C59)</f>
        <v>0.625</v>
      </c>
      <c r="F57" s="21">
        <f>308.88*E57 - 36.513</f>
        <v>156.53700000000001</v>
      </c>
      <c r="G57" s="21">
        <v>87.288240000000002</v>
      </c>
      <c r="H57" s="35">
        <f>AVERAGE(F57:G57)</f>
        <v>121.91262</v>
      </c>
    </row>
    <row r="58" spans="2:19" x14ac:dyDescent="0.25">
      <c r="C58" s="42">
        <v>0.63500000000000001</v>
      </c>
      <c r="D58" s="12">
        <v>8513</v>
      </c>
      <c r="E58" s="43"/>
      <c r="F58" s="21"/>
      <c r="G58" s="21"/>
      <c r="H58" s="35"/>
    </row>
    <row r="59" spans="2:19" x14ac:dyDescent="0.25">
      <c r="C59" s="42"/>
      <c r="D59" s="23"/>
      <c r="E59" s="43"/>
      <c r="F59" s="21"/>
      <c r="G59" s="21"/>
      <c r="H59" s="35"/>
    </row>
    <row r="60" spans="2:19" x14ac:dyDescent="0.25">
      <c r="C60" s="42">
        <v>0.54500000000000004</v>
      </c>
      <c r="D60" s="12" t="s">
        <v>10</v>
      </c>
      <c r="E60" s="43">
        <f>AVERAGE(C60:C62)</f>
        <v>0.47250000000000003</v>
      </c>
      <c r="F60" s="21">
        <f>308.88*E60 - 36.513</f>
        <v>109.43280000000001</v>
      </c>
      <c r="G60" s="21">
        <v>56.38056000000001</v>
      </c>
      <c r="H60" s="35">
        <f>AVERAGE(F60:G60)</f>
        <v>82.906680000000009</v>
      </c>
    </row>
    <row r="61" spans="2:19" x14ac:dyDescent="0.25">
      <c r="C61" s="42">
        <v>0.4</v>
      </c>
      <c r="D61" s="12">
        <v>3348</v>
      </c>
      <c r="E61" s="43"/>
      <c r="F61" s="21"/>
      <c r="G61" s="21"/>
      <c r="H61" s="35"/>
    </row>
    <row r="62" spans="2:19" x14ac:dyDescent="0.25">
      <c r="C62" s="42"/>
      <c r="D62" s="23"/>
      <c r="E62" s="43"/>
      <c r="F62" s="21"/>
      <c r="G62" s="21"/>
      <c r="H62" s="35"/>
    </row>
    <row r="63" spans="2:19" x14ac:dyDescent="0.25">
      <c r="C63" s="42">
        <v>0.48599999999999999</v>
      </c>
      <c r="D63" s="12" t="s">
        <v>10</v>
      </c>
      <c r="E63" s="43">
        <f>AVERAGE(C63:C65)</f>
        <v>0.51200000000000001</v>
      </c>
      <c r="F63" s="21">
        <f>308.88*E63 - 36.513</f>
        <v>121.63355999999999</v>
      </c>
      <c r="G63" s="21">
        <v>55.702760000000005</v>
      </c>
      <c r="H63" s="35">
        <f>AVERAGE(F63:G63)</f>
        <v>88.66816</v>
      </c>
    </row>
    <row r="64" spans="2:19" x14ac:dyDescent="0.25">
      <c r="C64" s="42">
        <v>0.53800000000000003</v>
      </c>
      <c r="D64" s="12">
        <v>8827</v>
      </c>
      <c r="E64" s="43"/>
      <c r="F64" s="21"/>
      <c r="G64" s="21"/>
      <c r="H64" s="35"/>
    </row>
    <row r="65" spans="3:10" x14ac:dyDescent="0.25">
      <c r="C65" s="42"/>
      <c r="D65" s="23"/>
      <c r="E65" s="43"/>
      <c r="F65" s="21"/>
      <c r="G65" s="21"/>
      <c r="H65" s="35"/>
    </row>
    <row r="66" spans="3:10" x14ac:dyDescent="0.25">
      <c r="C66" s="42">
        <v>0.67600000000000005</v>
      </c>
      <c r="D66" s="12" t="s">
        <v>10</v>
      </c>
      <c r="E66" s="43">
        <f>AVERAGE(C66:C68)</f>
        <v>0.6875</v>
      </c>
      <c r="F66" s="21">
        <f>308.88*E66 - 36.513</f>
        <v>175.84199999999998</v>
      </c>
      <c r="G66" s="21">
        <v>64.514160000000004</v>
      </c>
      <c r="H66" s="35">
        <f>AVERAGE(F66:G66)</f>
        <v>120.17807999999999</v>
      </c>
    </row>
    <row r="67" spans="3:10" x14ac:dyDescent="0.25">
      <c r="C67" s="42">
        <v>0.69899999999999995</v>
      </c>
      <c r="D67" s="12">
        <v>8451</v>
      </c>
      <c r="E67" s="43"/>
      <c r="F67" s="21"/>
      <c r="G67" s="21"/>
      <c r="H67" s="34"/>
    </row>
    <row r="68" spans="3:10" x14ac:dyDescent="0.25">
      <c r="C68" s="42"/>
      <c r="D68" s="23"/>
      <c r="E68" s="43"/>
      <c r="F68" s="21"/>
      <c r="G68" s="21"/>
      <c r="H68" s="34"/>
    </row>
    <row r="69" spans="3:10" x14ac:dyDescent="0.25">
      <c r="C69" s="42">
        <v>0.55600000000000005</v>
      </c>
      <c r="D69" s="12" t="s">
        <v>10</v>
      </c>
      <c r="E69" s="43">
        <f>AVERAGE(C69:C71)</f>
        <v>0.5635</v>
      </c>
      <c r="F69" s="21">
        <f>308.88*E69 - 36.513</f>
        <v>137.54087999999999</v>
      </c>
      <c r="G69" s="21">
        <v>58.549519999999994</v>
      </c>
      <c r="H69" s="35">
        <f>AVERAGE(F69:G69)</f>
        <v>98.045199999999994</v>
      </c>
    </row>
    <row r="70" spans="3:10" x14ac:dyDescent="0.25">
      <c r="C70" s="42">
        <v>0.57099999999999995</v>
      </c>
      <c r="D70" s="12">
        <v>8491</v>
      </c>
      <c r="E70" s="43"/>
      <c r="F70" s="21"/>
      <c r="G70" s="21"/>
      <c r="H70" s="34"/>
    </row>
    <row r="71" spans="3:10" x14ac:dyDescent="0.25">
      <c r="C71" s="42"/>
      <c r="D71" s="23"/>
      <c r="E71" s="43"/>
      <c r="F71" s="21"/>
      <c r="G71" s="21"/>
      <c r="H71" s="34"/>
    </row>
    <row r="72" spans="3:10" x14ac:dyDescent="0.25">
      <c r="C72" s="42">
        <v>0.65100000000000002</v>
      </c>
      <c r="D72" s="12" t="s">
        <v>10</v>
      </c>
      <c r="E72" s="43">
        <f>AVERAGE(C72:C74)</f>
        <v>0.68700000000000006</v>
      </c>
      <c r="F72" s="21">
        <f>308.88*E72 - 36.513</f>
        <v>175.68756000000002</v>
      </c>
      <c r="G72" s="21">
        <v>82.272519999999986</v>
      </c>
      <c r="H72" s="35">
        <f>AVERAGE(F72:G72)</f>
        <v>128.98004</v>
      </c>
    </row>
    <row r="73" spans="3:10" x14ac:dyDescent="0.25">
      <c r="C73" s="42">
        <v>0.72299999999999998</v>
      </c>
      <c r="D73" s="12">
        <v>8452</v>
      </c>
      <c r="E73" s="43"/>
      <c r="F73" s="21"/>
      <c r="G73" s="21"/>
      <c r="H73" s="35"/>
    </row>
    <row r="74" spans="3:10" x14ac:dyDescent="0.25">
      <c r="C74" s="42"/>
      <c r="D74" s="23"/>
      <c r="E74" s="43"/>
      <c r="F74" s="21"/>
      <c r="G74" s="21"/>
      <c r="H74" s="35"/>
    </row>
    <row r="75" spans="3:10" x14ac:dyDescent="0.25">
      <c r="C75" s="42">
        <v>0.56499999999999995</v>
      </c>
      <c r="D75" s="12" t="s">
        <v>10</v>
      </c>
      <c r="E75" s="43">
        <f>AVERAGE(C75:C77)</f>
        <v>0.54699999999999993</v>
      </c>
      <c r="F75" s="21">
        <f>308.88*E75 - 36.513</f>
        <v>132.44435999999996</v>
      </c>
      <c r="G75" s="21">
        <v>61.802959999999992</v>
      </c>
      <c r="H75" s="35">
        <f>AVERAGE(F75:G75)</f>
        <v>97.123659999999973</v>
      </c>
    </row>
    <row r="76" spans="3:10" x14ac:dyDescent="0.25">
      <c r="C76" s="42">
        <v>0.52900000000000003</v>
      </c>
      <c r="D76" s="12">
        <v>8608</v>
      </c>
      <c r="E76" s="43"/>
      <c r="F76" s="21"/>
      <c r="G76" s="21"/>
      <c r="H76" s="35"/>
    </row>
    <row r="77" spans="3:10" ht="13.8" thickBot="1" x14ac:dyDescent="0.3">
      <c r="C77" s="47"/>
      <c r="D77" s="28"/>
      <c r="E77" s="48"/>
      <c r="F77" s="29"/>
      <c r="G77" s="29"/>
      <c r="H77" s="36"/>
    </row>
    <row r="78" spans="3:10" x14ac:dyDescent="0.25">
      <c r="C78" s="44">
        <v>0.94499999999999995</v>
      </c>
      <c r="D78" s="49" t="s">
        <v>11</v>
      </c>
      <c r="E78" s="45">
        <f>AVERAGE(C78:C80)</f>
        <v>0.97350000000000003</v>
      </c>
      <c r="F78" s="46">
        <f>308.88*E78 - 36.513</f>
        <v>264.18168000000003</v>
      </c>
      <c r="G78" s="46">
        <v>92.98175999999998</v>
      </c>
      <c r="H78" s="136">
        <f>AVERAGE(F78:G78)</f>
        <v>178.58172000000002</v>
      </c>
    </row>
    <row r="79" spans="3:10" x14ac:dyDescent="0.25">
      <c r="C79" s="42">
        <v>1.002</v>
      </c>
      <c r="D79" s="13">
        <v>8802</v>
      </c>
      <c r="E79" s="43"/>
      <c r="F79" s="21"/>
      <c r="G79" s="21"/>
      <c r="H79" s="35"/>
      <c r="I79" s="137"/>
      <c r="J79" s="137"/>
    </row>
    <row r="80" spans="3:10" x14ac:dyDescent="0.25">
      <c r="C80" s="42"/>
      <c r="D80" s="23"/>
      <c r="E80" s="43"/>
      <c r="F80" s="21"/>
      <c r="G80" s="21"/>
      <c r="H80" s="35"/>
      <c r="I80" s="137"/>
      <c r="J80" s="137"/>
    </row>
    <row r="81" spans="3:10" x14ac:dyDescent="0.25">
      <c r="C81" s="42">
        <v>1.024</v>
      </c>
      <c r="D81" s="13" t="s">
        <v>11</v>
      </c>
      <c r="E81" s="43">
        <f>AVERAGE(C81:C83)</f>
        <v>1.0004999999999999</v>
      </c>
      <c r="F81" s="21">
        <f>308.88*E81 - 36.513</f>
        <v>272.52143999999998</v>
      </c>
      <c r="G81" s="21">
        <v>64.580455000000001</v>
      </c>
      <c r="H81" s="35">
        <f>AVERAGE(F81:G81)</f>
        <v>168.55094750000001</v>
      </c>
    </row>
    <row r="82" spans="3:10" x14ac:dyDescent="0.25">
      <c r="C82" s="42">
        <v>0.97699999999999998</v>
      </c>
      <c r="D82" s="13">
        <v>8861</v>
      </c>
      <c r="E82" s="43"/>
      <c r="F82" s="21"/>
      <c r="G82" s="21"/>
      <c r="H82" s="35"/>
      <c r="I82" s="137"/>
      <c r="J82" s="137"/>
    </row>
    <row r="83" spans="3:10" x14ac:dyDescent="0.25">
      <c r="C83" s="42"/>
      <c r="D83" s="23"/>
      <c r="E83" s="43"/>
      <c r="F83" s="21"/>
      <c r="G83" s="21"/>
      <c r="H83" s="35"/>
      <c r="I83" s="137"/>
      <c r="J83" s="137"/>
    </row>
    <row r="84" spans="3:10" x14ac:dyDescent="0.25">
      <c r="C84" s="42">
        <v>0.86799999999999999</v>
      </c>
      <c r="D84" s="13" t="s">
        <v>11</v>
      </c>
      <c r="E84" s="43">
        <f>AVERAGE(C84:C86)</f>
        <v>0.95799999999999996</v>
      </c>
      <c r="F84" s="21">
        <f>308.88*E84 - 36.513</f>
        <v>259.39404000000002</v>
      </c>
      <c r="G84" s="21">
        <v>81.459159999999997</v>
      </c>
      <c r="H84" s="35">
        <f>AVERAGE(F84:G84)</f>
        <v>170.42660000000001</v>
      </c>
    </row>
    <row r="85" spans="3:10" x14ac:dyDescent="0.25">
      <c r="C85" s="42">
        <v>1.048</v>
      </c>
      <c r="D85" s="13">
        <v>3442</v>
      </c>
      <c r="E85" s="43"/>
      <c r="F85" s="21"/>
      <c r="G85" s="21"/>
      <c r="H85" s="35"/>
    </row>
    <row r="86" spans="3:10" x14ac:dyDescent="0.25">
      <c r="C86" s="42"/>
      <c r="D86" s="23"/>
      <c r="E86" s="43"/>
      <c r="F86" s="21"/>
      <c r="G86" s="21"/>
      <c r="H86" s="35"/>
    </row>
    <row r="87" spans="3:10" x14ac:dyDescent="0.25">
      <c r="C87" s="42">
        <v>0.99299999999999999</v>
      </c>
      <c r="D87" s="13" t="s">
        <v>11</v>
      </c>
      <c r="E87" s="43">
        <f>AVERAGE(C87:C89)</f>
        <v>0.98</v>
      </c>
      <c r="F87" s="21">
        <f>308.88*E87 - 36.513</f>
        <v>266.18940000000003</v>
      </c>
      <c r="G87" s="21">
        <v>88.77940000000001</v>
      </c>
      <c r="H87" s="35">
        <f>AVERAGE(F87:G87)</f>
        <v>177.48440000000002</v>
      </c>
    </row>
    <row r="88" spans="3:10" x14ac:dyDescent="0.25">
      <c r="C88" s="42">
        <v>0.96699999999999997</v>
      </c>
      <c r="D88" s="13">
        <v>3326</v>
      </c>
      <c r="E88" s="43"/>
      <c r="F88" s="21"/>
      <c r="G88" s="21"/>
      <c r="H88" s="35"/>
    </row>
    <row r="89" spans="3:10" x14ac:dyDescent="0.25">
      <c r="C89" s="42"/>
      <c r="D89" s="23"/>
      <c r="E89" s="43"/>
      <c r="F89" s="21"/>
      <c r="G89" s="21"/>
      <c r="H89" s="35"/>
    </row>
    <row r="90" spans="3:10" x14ac:dyDescent="0.25">
      <c r="C90" s="42">
        <v>1</v>
      </c>
      <c r="D90" s="13" t="s">
        <v>11</v>
      </c>
      <c r="E90" s="43">
        <f>AVERAGE(C90:C92)</f>
        <v>0.96650000000000003</v>
      </c>
      <c r="F90" s="21">
        <f>308.88*E90 - 36.513</f>
        <v>262.01952</v>
      </c>
      <c r="G90" s="21">
        <v>87.152680000000004</v>
      </c>
      <c r="H90" s="35">
        <f>AVERAGE(F90:G90)</f>
        <v>174.58609999999999</v>
      </c>
    </row>
    <row r="91" spans="3:10" x14ac:dyDescent="0.25">
      <c r="C91" s="42">
        <v>0.93300000000000005</v>
      </c>
      <c r="D91" s="13">
        <v>8984</v>
      </c>
      <c r="E91" s="43"/>
      <c r="F91" s="21"/>
      <c r="G91" s="21"/>
      <c r="H91" s="35"/>
    </row>
    <row r="92" spans="3:10" x14ac:dyDescent="0.25">
      <c r="C92" s="42"/>
      <c r="D92" s="23"/>
      <c r="E92" s="43"/>
      <c r="F92" s="21"/>
      <c r="G92" s="21"/>
      <c r="H92" s="35"/>
    </row>
    <row r="93" spans="3:10" x14ac:dyDescent="0.25">
      <c r="C93" s="42">
        <v>0.96499999999999997</v>
      </c>
      <c r="D93" s="13" t="s">
        <v>11</v>
      </c>
      <c r="E93" s="43">
        <f>AVERAGE(C93:C95)</f>
        <v>0.96499999999999997</v>
      </c>
      <c r="F93" s="21">
        <f>308.88*E93 - 36.513</f>
        <v>261.55619999999999</v>
      </c>
      <c r="G93" s="21">
        <v>92.303960000000018</v>
      </c>
      <c r="H93" s="35">
        <f>AVERAGE(F93:G93)</f>
        <v>176.93008</v>
      </c>
    </row>
    <row r="94" spans="3:10" x14ac:dyDescent="0.25">
      <c r="C94" s="42">
        <v>0.96499999999999997</v>
      </c>
      <c r="D94" s="13">
        <v>3327</v>
      </c>
      <c r="E94" s="43"/>
      <c r="F94" s="21"/>
      <c r="G94" s="21"/>
      <c r="H94" s="35"/>
    </row>
    <row r="95" spans="3:10" x14ac:dyDescent="0.25">
      <c r="C95" s="42"/>
      <c r="D95" s="23"/>
      <c r="E95" s="43"/>
      <c r="F95" s="21"/>
      <c r="G95" s="21"/>
      <c r="H95" s="35"/>
    </row>
    <row r="96" spans="3:10" x14ac:dyDescent="0.25">
      <c r="C96" s="42">
        <v>0.98899999999999999</v>
      </c>
      <c r="D96" s="13" t="s">
        <v>11</v>
      </c>
      <c r="E96" s="43">
        <f>AVERAGE(C96:C98)</f>
        <v>0.9425</v>
      </c>
      <c r="F96" s="21">
        <f>308.88*E96 - 36.513</f>
        <v>254.60639999999998</v>
      </c>
      <c r="G96" s="21">
        <v>89.999439999999993</v>
      </c>
      <c r="H96" s="35">
        <f>AVERAGE(F96:G96)</f>
        <v>172.30291999999997</v>
      </c>
    </row>
    <row r="97" spans="3:8" x14ac:dyDescent="0.25">
      <c r="C97" s="42">
        <v>0.89600000000000002</v>
      </c>
      <c r="D97" s="13">
        <v>8631</v>
      </c>
      <c r="E97" s="43"/>
      <c r="F97" s="21"/>
      <c r="G97" s="21"/>
      <c r="H97" s="35"/>
    </row>
    <row r="98" spans="3:8" x14ac:dyDescent="0.25">
      <c r="C98" s="42"/>
      <c r="D98" s="23"/>
      <c r="E98" s="43"/>
      <c r="F98" s="21"/>
      <c r="G98" s="21"/>
      <c r="H98" s="35"/>
    </row>
    <row r="99" spans="3:8" x14ac:dyDescent="0.25">
      <c r="C99" s="42">
        <v>0.83599999999999997</v>
      </c>
      <c r="D99" s="13" t="s">
        <v>11</v>
      </c>
      <c r="E99" s="43">
        <f>AVERAGE(C99:C101)</f>
        <v>0.82650000000000001</v>
      </c>
      <c r="F99" s="21">
        <f>308.88*E99 - 36.513</f>
        <v>218.77632</v>
      </c>
      <c r="G99" s="21">
        <v>90.135000000000019</v>
      </c>
      <c r="H99" s="35">
        <f>AVERAGE(F99:G99)</f>
        <v>154.45566000000002</v>
      </c>
    </row>
    <row r="100" spans="3:8" x14ac:dyDescent="0.25">
      <c r="C100" s="42">
        <v>0.81699999999999995</v>
      </c>
      <c r="D100" s="13">
        <v>8937</v>
      </c>
      <c r="E100" s="43"/>
      <c r="F100" s="21"/>
      <c r="G100" s="21"/>
      <c r="H100" s="35"/>
    </row>
    <row r="101" spans="3:8" x14ac:dyDescent="0.25">
      <c r="C101" s="42"/>
      <c r="D101" s="23"/>
      <c r="E101" s="43"/>
      <c r="F101" s="21"/>
      <c r="G101" s="21"/>
      <c r="H101" s="35"/>
    </row>
    <row r="102" spans="3:8" x14ac:dyDescent="0.25">
      <c r="C102" s="42">
        <v>0.98699999999999999</v>
      </c>
      <c r="D102" s="13" t="s">
        <v>11</v>
      </c>
      <c r="E102" s="43">
        <f>AVERAGE(C102:C104)</f>
        <v>1.0125</v>
      </c>
      <c r="F102" s="21">
        <f>308.88*E102 - 36.513</f>
        <v>276.22800000000001</v>
      </c>
      <c r="G102" s="21">
        <v>75.358959999999996</v>
      </c>
      <c r="H102" s="35">
        <f>AVERAGE(F102:G102)</f>
        <v>175.79347999999999</v>
      </c>
    </row>
    <row r="103" spans="3:8" x14ac:dyDescent="0.25">
      <c r="C103" s="42">
        <v>1.038</v>
      </c>
      <c r="D103" s="13">
        <v>8936</v>
      </c>
      <c r="E103" s="43"/>
      <c r="F103" s="21"/>
      <c r="G103" s="21"/>
      <c r="H103" s="35"/>
    </row>
    <row r="104" spans="3:8" x14ac:dyDescent="0.25">
      <c r="C104" s="42"/>
      <c r="D104" s="23"/>
      <c r="E104" s="43"/>
      <c r="F104" s="21"/>
      <c r="G104" s="21"/>
      <c r="H104" s="35"/>
    </row>
    <row r="105" spans="3:8" x14ac:dyDescent="0.25">
      <c r="C105" s="42">
        <v>0.67400000000000004</v>
      </c>
      <c r="D105" s="13" t="s">
        <v>11</v>
      </c>
      <c r="E105" s="43">
        <f>AVERAGE(C105:C107)</f>
        <v>0.68599999999999994</v>
      </c>
      <c r="F105" s="21">
        <f>308.88*E105 - 36.513</f>
        <v>175.37867999999997</v>
      </c>
      <c r="G105" s="21">
        <v>92.529893333333348</v>
      </c>
      <c r="H105" s="35">
        <f>AVERAGE(F105:G105)</f>
        <v>133.95428666666666</v>
      </c>
    </row>
    <row r="106" spans="3:8" x14ac:dyDescent="0.25">
      <c r="C106" s="42">
        <v>0.69799999999999995</v>
      </c>
      <c r="D106" s="13">
        <v>3494</v>
      </c>
      <c r="E106" s="43"/>
      <c r="F106" s="21"/>
      <c r="G106" s="21"/>
      <c r="H106" s="35"/>
    </row>
    <row r="107" spans="3:8" ht="13.8" thickBot="1" x14ac:dyDescent="0.3">
      <c r="C107" s="30"/>
      <c r="D107" s="31"/>
      <c r="E107" s="32"/>
      <c r="F107" s="32"/>
      <c r="G107" s="32"/>
      <c r="H107" s="37"/>
    </row>
    <row r="108" spans="3:8" x14ac:dyDescent="0.25">
      <c r="C108" s="24">
        <v>0.59499999999999997</v>
      </c>
      <c r="D108" s="20" t="s">
        <v>4</v>
      </c>
      <c r="E108" s="25">
        <f>AVERAGE(C108:C110)</f>
        <v>0.59099999999999997</v>
      </c>
      <c r="F108" s="25">
        <f>308.88*E108 - 36.513</f>
        <v>146.03507999999999</v>
      </c>
      <c r="G108" s="25">
        <v>65.734199999999987</v>
      </c>
      <c r="H108" s="52">
        <f>AVERAGE(F108:G108)</f>
        <v>105.88463999999999</v>
      </c>
    </row>
    <row r="109" spans="3:8" x14ac:dyDescent="0.25">
      <c r="C109" s="26">
        <v>0.58699999999999997</v>
      </c>
      <c r="D109" s="14"/>
      <c r="E109" s="21"/>
      <c r="F109" s="21"/>
      <c r="G109" s="21"/>
      <c r="H109" s="35"/>
    </row>
    <row r="110" spans="3:8" x14ac:dyDescent="0.25">
      <c r="C110" s="26"/>
      <c r="D110" s="23"/>
      <c r="E110" s="21"/>
      <c r="F110" s="21"/>
      <c r="G110" s="21"/>
      <c r="H110" s="35"/>
    </row>
    <row r="111" spans="3:8" x14ac:dyDescent="0.25">
      <c r="C111" s="26">
        <v>0.57499999999999996</v>
      </c>
      <c r="D111" s="14" t="s">
        <v>4</v>
      </c>
      <c r="E111" s="21">
        <f>AVERAGE(C111:C113)</f>
        <v>0.59949999999999992</v>
      </c>
      <c r="F111" s="21">
        <f>308.88*E111 - 36.513</f>
        <v>148.66055999999998</v>
      </c>
      <c r="G111" s="21">
        <v>68.987639999999999</v>
      </c>
      <c r="H111" s="35">
        <f>AVERAGE(F111:G111)</f>
        <v>108.82409999999999</v>
      </c>
    </row>
    <row r="112" spans="3:8" x14ac:dyDescent="0.25">
      <c r="C112" s="26">
        <v>0.624</v>
      </c>
      <c r="D112" s="14"/>
      <c r="E112" s="21"/>
      <c r="F112" s="21"/>
      <c r="G112" s="21"/>
      <c r="H112" s="35"/>
    </row>
    <row r="113" spans="3:8" x14ac:dyDescent="0.25">
      <c r="C113" s="26"/>
      <c r="D113" s="23"/>
      <c r="E113" s="21"/>
      <c r="F113" s="21"/>
      <c r="G113" s="21"/>
      <c r="H113" s="35"/>
    </row>
    <row r="114" spans="3:8" x14ac:dyDescent="0.25">
      <c r="C114" s="26">
        <v>0.58699999999999997</v>
      </c>
      <c r="D114" s="14" t="s">
        <v>4</v>
      </c>
      <c r="E114" s="21">
        <f>AVERAGE(C114:C116)</f>
        <v>0.57599999999999996</v>
      </c>
      <c r="F114" s="21">
        <f>308.88*E114 - 36.513</f>
        <v>141.40187999999998</v>
      </c>
      <c r="G114" s="21">
        <v>61.260719999999999</v>
      </c>
      <c r="H114" s="35">
        <f>AVERAGE(F114:G114)</f>
        <v>101.33129999999998</v>
      </c>
    </row>
    <row r="115" spans="3:8" x14ac:dyDescent="0.25">
      <c r="C115" s="26">
        <v>0.56499999999999995</v>
      </c>
      <c r="D115" s="14"/>
      <c r="E115" s="21"/>
      <c r="F115" s="21"/>
      <c r="G115" s="21"/>
      <c r="H115" s="35"/>
    </row>
    <row r="116" spans="3:8" x14ac:dyDescent="0.25">
      <c r="C116" s="26"/>
      <c r="D116" s="23"/>
      <c r="E116" s="21"/>
      <c r="F116" s="21"/>
      <c r="G116" s="21"/>
      <c r="H116" s="35"/>
    </row>
    <row r="117" spans="3:8" x14ac:dyDescent="0.25">
      <c r="C117" s="26">
        <v>0.54800000000000004</v>
      </c>
      <c r="D117" s="14" t="s">
        <v>4</v>
      </c>
      <c r="E117" s="21">
        <f>AVERAGE(C117:C119)</f>
        <v>0.53100000000000003</v>
      </c>
      <c r="F117" s="21">
        <f>308.88*E117 - 36.513</f>
        <v>127.50228000000001</v>
      </c>
      <c r="G117" s="21">
        <v>46.349119999999992</v>
      </c>
      <c r="H117" s="35">
        <f>AVERAGE(F117:G117)</f>
        <v>86.925700000000006</v>
      </c>
    </row>
    <row r="118" spans="3:8" x14ac:dyDescent="0.25">
      <c r="C118" s="26">
        <v>0.51400000000000001</v>
      </c>
      <c r="D118" s="14"/>
      <c r="E118" s="21"/>
      <c r="F118" s="21"/>
      <c r="G118" s="21"/>
      <c r="H118" s="35"/>
    </row>
    <row r="119" spans="3:8" x14ac:dyDescent="0.25">
      <c r="C119" s="26"/>
      <c r="D119" s="23"/>
      <c r="E119" s="21"/>
      <c r="F119" s="21"/>
      <c r="G119" s="21"/>
      <c r="H119" s="35"/>
    </row>
    <row r="120" spans="3:8" x14ac:dyDescent="0.25">
      <c r="C120" s="26">
        <v>0.51200000000000001</v>
      </c>
      <c r="D120" s="14" t="s">
        <v>4</v>
      </c>
      <c r="E120" s="21">
        <f>AVERAGE(C120:C122)</f>
        <v>0.51449999999999996</v>
      </c>
      <c r="F120" s="21">
        <f>308.88*E120 - 36.513</f>
        <v>122.40575999999999</v>
      </c>
      <c r="G120" s="21">
        <v>56.38056000000001</v>
      </c>
      <c r="H120" s="35">
        <f>AVERAGE(F120:G120)</f>
        <v>89.393159999999995</v>
      </c>
    </row>
    <row r="121" spans="3:8" x14ac:dyDescent="0.25">
      <c r="C121" s="26">
        <v>0.51700000000000002</v>
      </c>
      <c r="D121" s="14"/>
      <c r="E121" s="21"/>
      <c r="F121" s="21"/>
      <c r="G121" s="21"/>
      <c r="H121" s="35"/>
    </row>
    <row r="122" spans="3:8" ht="13.8" thickBot="1" x14ac:dyDescent="0.3">
      <c r="C122" s="27"/>
      <c r="D122" s="28"/>
      <c r="E122" s="29"/>
      <c r="F122" s="29"/>
      <c r="G122" s="29"/>
      <c r="H122" s="36"/>
    </row>
    <row r="123" spans="3:8" x14ac:dyDescent="0.25">
      <c r="D123" s="51"/>
    </row>
    <row r="124" spans="3:8" x14ac:dyDescent="0.25">
      <c r="D124" s="1"/>
    </row>
    <row r="125" spans="3:8" x14ac:dyDescent="0.25">
      <c r="D125" s="1"/>
    </row>
    <row r="126" spans="3:8" x14ac:dyDescent="0.25">
      <c r="D126" s="51"/>
    </row>
    <row r="127" spans="3:8" x14ac:dyDescent="0.25">
      <c r="D127" s="1"/>
    </row>
    <row r="128" spans="3:8" x14ac:dyDescent="0.25">
      <c r="D128" s="1"/>
    </row>
  </sheetData>
  <phoneticPr fontId="4" type="noConversion"/>
  <pageMargins left="0" right="0" top="0" bottom="0" header="0.5" footer="0.5"/>
  <pageSetup scale="6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78"/>
  <sheetViews>
    <sheetView workbookViewId="0">
      <selection activeCell="Q72" sqref="Q72"/>
    </sheetView>
  </sheetViews>
  <sheetFormatPr defaultRowHeight="13.2" x14ac:dyDescent="0.25"/>
  <cols>
    <col min="1" max="1" width="20.77734375" style="104" customWidth="1"/>
    <col min="2" max="2" width="11.21875" customWidth="1"/>
    <col min="4" max="4" width="16" customWidth="1"/>
    <col min="5" max="5" width="15.21875" customWidth="1"/>
    <col min="6" max="6" width="16.77734375" customWidth="1"/>
    <col min="7" max="7" width="10.21875" customWidth="1"/>
    <col min="8" max="8" width="17.21875" style="104" customWidth="1"/>
    <col min="9" max="9" width="10.5546875" customWidth="1"/>
    <col min="11" max="12" width="16.21875" customWidth="1"/>
    <col min="13" max="13" width="14" customWidth="1"/>
  </cols>
  <sheetData>
    <row r="1" spans="1:14" x14ac:dyDescent="0.25">
      <c r="A1" s="655" t="s">
        <v>34</v>
      </c>
      <c r="G1" s="51"/>
      <c r="H1" s="655" t="s">
        <v>47</v>
      </c>
      <c r="I1" s="168"/>
      <c r="J1" s="168"/>
      <c r="K1" s="5"/>
      <c r="L1" s="65"/>
      <c r="M1" s="129"/>
      <c r="N1" s="65"/>
    </row>
    <row r="2" spans="1:14" x14ac:dyDescent="0.25">
      <c r="B2" s="161" t="s">
        <v>35</v>
      </c>
      <c r="C2" s="162" t="s">
        <v>36</v>
      </c>
      <c r="D2" s="162" t="s">
        <v>48</v>
      </c>
      <c r="E2" s="162" t="s">
        <v>48</v>
      </c>
      <c r="F2" s="160"/>
      <c r="G2" s="65"/>
      <c r="I2" s="161" t="s">
        <v>35</v>
      </c>
      <c r="J2" s="162" t="s">
        <v>36</v>
      </c>
      <c r="K2" s="162" t="s">
        <v>48</v>
      </c>
      <c r="L2" s="162" t="s">
        <v>48</v>
      </c>
      <c r="M2" s="159"/>
      <c r="N2" s="159"/>
    </row>
    <row r="3" spans="1:14" x14ac:dyDescent="0.25">
      <c r="B3" s="140" t="s">
        <v>37</v>
      </c>
      <c r="C3" s="64">
        <v>120.5</v>
      </c>
      <c r="D3" s="64" t="s">
        <v>26</v>
      </c>
      <c r="E3" s="64" t="s">
        <v>26</v>
      </c>
      <c r="F3" s="129"/>
      <c r="G3" s="159"/>
      <c r="I3" s="140" t="s">
        <v>37</v>
      </c>
      <c r="J3" s="64">
        <v>89</v>
      </c>
      <c r="K3" s="64" t="s">
        <v>26</v>
      </c>
      <c r="L3" s="64" t="s">
        <v>26</v>
      </c>
      <c r="M3" s="160"/>
      <c r="N3" s="160"/>
    </row>
    <row r="4" spans="1:14" x14ac:dyDescent="0.25">
      <c r="B4" s="140"/>
      <c r="C4" s="64">
        <v>110</v>
      </c>
      <c r="D4" s="64" t="s">
        <v>26</v>
      </c>
      <c r="E4" s="1"/>
      <c r="F4" s="141"/>
      <c r="G4" s="160"/>
      <c r="I4" s="140"/>
      <c r="J4" s="64">
        <v>96.5</v>
      </c>
      <c r="K4" s="64" t="s">
        <v>26</v>
      </c>
      <c r="L4" s="1"/>
      <c r="M4" s="72"/>
      <c r="N4" s="72"/>
    </row>
    <row r="5" spans="1:14" x14ac:dyDescent="0.25">
      <c r="B5" s="140" t="s">
        <v>38</v>
      </c>
      <c r="C5" s="64">
        <v>14687</v>
      </c>
      <c r="D5" s="64">
        <v>78591.91</v>
      </c>
      <c r="E5" s="65">
        <f>AVERAGE(D5:D6)</f>
        <v>58048.78</v>
      </c>
      <c r="F5" s="2"/>
      <c r="G5" s="140"/>
      <c r="I5" s="140" t="s">
        <v>38</v>
      </c>
      <c r="J5" s="87">
        <v>6543.5</v>
      </c>
      <c r="K5" s="87">
        <v>41020.870000000003</v>
      </c>
      <c r="L5" s="65">
        <f>AVERAGE(K5:K6)</f>
        <v>53109.835000000006</v>
      </c>
      <c r="M5" s="72"/>
      <c r="N5" s="72"/>
    </row>
    <row r="6" spans="1:14" x14ac:dyDescent="0.25">
      <c r="B6" s="140"/>
      <c r="C6" s="552">
        <v>12843.5</v>
      </c>
      <c r="D6" s="64">
        <v>37505.65</v>
      </c>
      <c r="E6" s="1"/>
      <c r="F6" s="141"/>
      <c r="G6" s="140"/>
      <c r="I6" s="165"/>
      <c r="J6" s="551">
        <v>6836</v>
      </c>
      <c r="K6" s="87">
        <v>65198.8</v>
      </c>
      <c r="L6" s="51"/>
      <c r="M6" s="72"/>
      <c r="N6" s="557" t="s">
        <v>233</v>
      </c>
    </row>
    <row r="7" spans="1:14" x14ac:dyDescent="0.25">
      <c r="B7" s="140" t="s">
        <v>39</v>
      </c>
      <c r="C7" s="552">
        <v>7779</v>
      </c>
      <c r="D7" s="64">
        <v>13682.17</v>
      </c>
      <c r="E7" s="65">
        <f>AVERAGE(D7:D8)</f>
        <v>12537.52</v>
      </c>
      <c r="F7" s="2"/>
      <c r="G7" s="140"/>
      <c r="I7" s="140" t="s">
        <v>39</v>
      </c>
      <c r="J7" s="552">
        <v>4038</v>
      </c>
      <c r="K7" s="64">
        <v>7097.63</v>
      </c>
      <c r="L7" s="65">
        <f>AVERAGE(K7:K8)</f>
        <v>17293.37</v>
      </c>
      <c r="M7" s="72"/>
      <c r="N7" s="72"/>
    </row>
    <row r="8" spans="1:14" x14ac:dyDescent="0.25">
      <c r="B8" s="1"/>
      <c r="C8" s="64">
        <v>6799.5</v>
      </c>
      <c r="D8" s="64">
        <v>11392.87</v>
      </c>
      <c r="E8" s="65"/>
      <c r="F8" s="141"/>
      <c r="G8" s="140"/>
      <c r="I8" s="1"/>
      <c r="J8" s="64">
        <v>6190</v>
      </c>
      <c r="K8" s="64">
        <v>27489.11</v>
      </c>
      <c r="L8" s="65"/>
      <c r="M8" s="72"/>
      <c r="N8" s="72"/>
    </row>
    <row r="9" spans="1:14" x14ac:dyDescent="0.25">
      <c r="B9" s="140" t="s">
        <v>40</v>
      </c>
      <c r="C9" s="64">
        <v>2214</v>
      </c>
      <c r="D9" s="64">
        <v>3185.23</v>
      </c>
      <c r="E9" s="65">
        <f>AVERAGE(D9:D10)</f>
        <v>3123.79</v>
      </c>
      <c r="F9" s="141"/>
      <c r="G9" s="140"/>
      <c r="I9" s="140" t="s">
        <v>40</v>
      </c>
      <c r="J9" s="64">
        <v>2217</v>
      </c>
      <c r="K9" s="64">
        <v>3175.34</v>
      </c>
      <c r="L9" s="65">
        <f>AVERAGE(K9:K10)</f>
        <v>3151.42</v>
      </c>
      <c r="M9" s="72"/>
      <c r="N9" s="72"/>
    </row>
    <row r="10" spans="1:14" x14ac:dyDescent="0.25">
      <c r="B10" s="1"/>
      <c r="C10" s="64">
        <v>2134</v>
      </c>
      <c r="D10" s="64">
        <v>3062.35</v>
      </c>
      <c r="E10" s="65"/>
      <c r="F10" s="141"/>
      <c r="G10" s="1"/>
      <c r="I10" s="1"/>
      <c r="J10" s="64">
        <v>2183.5</v>
      </c>
      <c r="K10" s="64">
        <v>3127.5</v>
      </c>
      <c r="L10" s="65"/>
      <c r="M10" s="72"/>
      <c r="N10" s="72"/>
    </row>
    <row r="11" spans="1:14" x14ac:dyDescent="0.25">
      <c r="B11" s="140" t="s">
        <v>41</v>
      </c>
      <c r="C11" s="64">
        <v>604</v>
      </c>
      <c r="D11" s="64">
        <v>766.74</v>
      </c>
      <c r="E11" s="65">
        <f>AVERAGE(D11:D12)</f>
        <v>788.55</v>
      </c>
      <c r="F11" s="141"/>
      <c r="G11" s="140"/>
      <c r="I11" s="140" t="s">
        <v>41</v>
      </c>
      <c r="J11" s="64">
        <v>250.5</v>
      </c>
      <c r="K11" s="64">
        <v>726.4</v>
      </c>
      <c r="L11" s="65">
        <f>AVERAGE(K11:K12)</f>
        <v>714.995</v>
      </c>
      <c r="M11" s="72"/>
      <c r="N11" s="166" t="s">
        <v>28</v>
      </c>
    </row>
    <row r="12" spans="1:14" x14ac:dyDescent="0.25">
      <c r="B12" s="140"/>
      <c r="C12" s="64">
        <v>633.5</v>
      </c>
      <c r="D12" s="64">
        <v>810.36</v>
      </c>
      <c r="E12" s="65"/>
      <c r="F12" s="141"/>
      <c r="G12" s="1"/>
      <c r="I12" s="140"/>
      <c r="J12" s="64">
        <v>238.5</v>
      </c>
      <c r="K12" s="64">
        <v>703.59</v>
      </c>
      <c r="L12" s="65"/>
      <c r="M12" s="141"/>
      <c r="N12" s="72"/>
    </row>
    <row r="13" spans="1:14" x14ac:dyDescent="0.25">
      <c r="B13" s="140" t="s">
        <v>42</v>
      </c>
      <c r="C13" s="64">
        <v>207</v>
      </c>
      <c r="D13" s="64">
        <v>180</v>
      </c>
      <c r="E13" s="65">
        <f>AVERAGE(D13:D14)</f>
        <v>181.85</v>
      </c>
      <c r="F13" s="141"/>
      <c r="G13" s="140"/>
      <c r="I13" s="140" t="s">
        <v>42</v>
      </c>
      <c r="J13" s="64">
        <v>123.5</v>
      </c>
      <c r="K13" s="64">
        <v>166.08</v>
      </c>
      <c r="L13" s="65">
        <f>AVERAGE(K13:K14)</f>
        <v>186.30500000000001</v>
      </c>
      <c r="M13" s="141"/>
      <c r="N13" s="72"/>
    </row>
    <row r="14" spans="1:14" x14ac:dyDescent="0.25">
      <c r="B14" s="140"/>
      <c r="C14" s="64">
        <v>209.5</v>
      </c>
      <c r="D14" s="64">
        <v>183.7</v>
      </c>
      <c r="E14" s="65"/>
      <c r="F14" s="129"/>
      <c r="G14" s="140"/>
      <c r="I14" s="140"/>
      <c r="J14" s="64">
        <v>157.5</v>
      </c>
      <c r="K14" s="64">
        <v>206.53</v>
      </c>
      <c r="L14" s="65"/>
      <c r="M14" s="141"/>
      <c r="N14" s="140"/>
    </row>
    <row r="15" spans="1:14" x14ac:dyDescent="0.25">
      <c r="B15" s="553" t="s">
        <v>43</v>
      </c>
      <c r="C15" s="552">
        <v>107.5</v>
      </c>
      <c r="D15" s="552">
        <v>32.53</v>
      </c>
      <c r="E15" s="555">
        <f>AVERAGE(D15:D16)</f>
        <v>46.269999999999996</v>
      </c>
      <c r="F15" s="141"/>
      <c r="G15" s="140"/>
      <c r="I15" s="553" t="s">
        <v>43</v>
      </c>
      <c r="J15" s="552">
        <v>105</v>
      </c>
      <c r="K15" s="552" t="s">
        <v>26</v>
      </c>
      <c r="L15" s="552" t="s">
        <v>26</v>
      </c>
      <c r="M15" s="129"/>
      <c r="N15" s="140"/>
    </row>
    <row r="16" spans="1:14" x14ac:dyDescent="0.25">
      <c r="B16" s="553" t="s">
        <v>28</v>
      </c>
      <c r="C16" s="552">
        <v>126</v>
      </c>
      <c r="D16" s="552">
        <v>60.01</v>
      </c>
      <c r="E16" s="552"/>
      <c r="F16" s="129"/>
      <c r="G16" s="140"/>
      <c r="I16" s="553" t="s">
        <v>28</v>
      </c>
      <c r="J16" s="552">
        <v>100</v>
      </c>
      <c r="K16" s="552" t="s">
        <v>26</v>
      </c>
      <c r="L16" s="552"/>
      <c r="M16" s="141"/>
      <c r="N16" s="140"/>
    </row>
    <row r="17" spans="1:17" x14ac:dyDescent="0.25">
      <c r="B17" s="553" t="s">
        <v>44</v>
      </c>
      <c r="C17" s="552">
        <v>106</v>
      </c>
      <c r="D17" s="552">
        <v>30.3</v>
      </c>
      <c r="E17" s="555">
        <f>AVERAGE(D17:D18)</f>
        <v>22.115000000000002</v>
      </c>
      <c r="F17" s="141" t="s">
        <v>28</v>
      </c>
      <c r="G17" s="140"/>
      <c r="I17" s="553" t="s">
        <v>44</v>
      </c>
      <c r="J17" s="552">
        <v>99.5</v>
      </c>
      <c r="K17" s="552" t="s">
        <v>26</v>
      </c>
      <c r="L17" s="552" t="s">
        <v>26</v>
      </c>
      <c r="M17" s="129"/>
      <c r="N17" s="140"/>
    </row>
    <row r="18" spans="1:17" x14ac:dyDescent="0.25">
      <c r="B18" s="554"/>
      <c r="C18" s="552">
        <v>95</v>
      </c>
      <c r="D18" s="552">
        <v>13.93</v>
      </c>
      <c r="E18" s="555"/>
      <c r="F18" s="129" t="s">
        <v>28</v>
      </c>
      <c r="G18" s="140"/>
      <c r="I18" s="554"/>
      <c r="J18" s="552">
        <v>94.5</v>
      </c>
      <c r="K18" s="552" t="s">
        <v>26</v>
      </c>
      <c r="L18" s="555"/>
      <c r="M18" s="141"/>
      <c r="N18" s="140"/>
    </row>
    <row r="19" spans="1:17" x14ac:dyDescent="0.25">
      <c r="B19" s="142"/>
      <c r="C19" s="104"/>
      <c r="D19" s="104" t="s">
        <v>230</v>
      </c>
      <c r="E19" s="65" t="s">
        <v>227</v>
      </c>
      <c r="F19" s="129"/>
      <c r="G19" s="129"/>
      <c r="I19" s="142"/>
      <c r="J19" s="104"/>
      <c r="K19" s="104" t="s">
        <v>231</v>
      </c>
      <c r="L19" s="65" t="s">
        <v>227</v>
      </c>
      <c r="M19" s="129"/>
      <c r="N19" s="129"/>
    </row>
    <row r="20" spans="1:17" ht="13.8" thickBot="1" x14ac:dyDescent="0.3">
      <c r="A20" s="102" t="s">
        <v>23</v>
      </c>
      <c r="B20" s="63"/>
      <c r="C20" s="64"/>
      <c r="D20" s="64"/>
      <c r="E20" s="1" t="s">
        <v>228</v>
      </c>
      <c r="F20" s="64"/>
      <c r="G20" s="129"/>
      <c r="H20" s="102" t="s">
        <v>23</v>
      </c>
      <c r="I20" s="63"/>
      <c r="J20" s="64"/>
      <c r="K20" s="64"/>
      <c r="L20" s="1" t="s">
        <v>228</v>
      </c>
      <c r="M20" s="129"/>
      <c r="N20" s="129"/>
    </row>
    <row r="21" spans="1:17" ht="13.8" x14ac:dyDescent="0.25">
      <c r="A21" s="656" t="s">
        <v>45</v>
      </c>
      <c r="B21" s="143">
        <v>295</v>
      </c>
      <c r="C21" s="66">
        <v>86</v>
      </c>
      <c r="D21" s="66" t="s">
        <v>26</v>
      </c>
      <c r="E21" s="560">
        <v>0</v>
      </c>
      <c r="F21" s="556" t="s">
        <v>236</v>
      </c>
      <c r="G21" s="129"/>
      <c r="H21" s="656" t="s">
        <v>45</v>
      </c>
      <c r="I21" s="143">
        <v>295</v>
      </c>
      <c r="J21" s="66">
        <v>73.5</v>
      </c>
      <c r="K21" s="66" t="s">
        <v>26</v>
      </c>
      <c r="L21" s="654">
        <f>0.195/SQRT(2)</f>
        <v>0.13788582233137675</v>
      </c>
      <c r="M21" s="562" t="s">
        <v>235</v>
      </c>
      <c r="N21" s="562"/>
      <c r="O21" s="562"/>
      <c r="P21" s="562"/>
      <c r="Q21" s="562"/>
    </row>
    <row r="22" spans="1:17" ht="17.399999999999999" x14ac:dyDescent="0.3">
      <c r="A22" s="534"/>
      <c r="B22" s="144"/>
      <c r="C22" s="68">
        <v>84</v>
      </c>
      <c r="D22" s="68" t="s">
        <v>26</v>
      </c>
      <c r="E22" s="673"/>
      <c r="F22" s="70"/>
      <c r="G22" s="2"/>
      <c r="H22" s="534"/>
      <c r="I22" s="144"/>
      <c r="J22" s="68">
        <v>95</v>
      </c>
      <c r="K22" s="68" t="s">
        <v>26</v>
      </c>
      <c r="L22" s="293"/>
      <c r="M22" s="72"/>
      <c r="N22" s="72"/>
    </row>
    <row r="23" spans="1:17" ht="17.399999999999999" x14ac:dyDescent="0.25">
      <c r="A23" s="657" t="s">
        <v>45</v>
      </c>
      <c r="B23" s="145">
        <v>9828</v>
      </c>
      <c r="C23" s="68">
        <v>58</v>
      </c>
      <c r="D23" s="68" t="s">
        <v>26</v>
      </c>
      <c r="E23" s="561">
        <v>0</v>
      </c>
      <c r="F23" s="67"/>
      <c r="G23" s="129"/>
      <c r="H23" s="657" t="s">
        <v>45</v>
      </c>
      <c r="I23" s="145">
        <v>9828</v>
      </c>
      <c r="J23" s="68">
        <v>180</v>
      </c>
      <c r="K23" s="68">
        <v>563.04</v>
      </c>
      <c r="L23" s="293">
        <v>0.61790132123327401</v>
      </c>
      <c r="M23" s="72"/>
      <c r="N23" s="72"/>
    </row>
    <row r="24" spans="1:17" ht="13.8" x14ac:dyDescent="0.25">
      <c r="A24" s="534"/>
      <c r="B24" s="144"/>
      <c r="C24" s="68">
        <v>62</v>
      </c>
      <c r="D24" s="68" t="s">
        <v>26</v>
      </c>
      <c r="E24" s="673"/>
      <c r="F24" s="87"/>
      <c r="G24" s="129"/>
      <c r="H24" s="534"/>
      <c r="I24" s="144"/>
      <c r="J24" s="68">
        <v>177</v>
      </c>
      <c r="K24" s="68">
        <v>553.70000000000005</v>
      </c>
      <c r="L24" s="293"/>
      <c r="M24" s="72"/>
      <c r="N24" s="72"/>
    </row>
    <row r="25" spans="1:17" ht="17.399999999999999" x14ac:dyDescent="0.25">
      <c r="A25" s="657" t="s">
        <v>45</v>
      </c>
      <c r="B25" s="145">
        <v>322</v>
      </c>
      <c r="C25" s="68">
        <v>87</v>
      </c>
      <c r="D25" s="68" t="s">
        <v>26</v>
      </c>
      <c r="E25" s="561">
        <v>0</v>
      </c>
      <c r="F25" s="67"/>
      <c r="G25" s="129"/>
      <c r="H25" s="657" t="s">
        <v>45</v>
      </c>
      <c r="I25" s="145">
        <v>322</v>
      </c>
      <c r="J25" s="68">
        <v>537</v>
      </c>
      <c r="K25" s="68">
        <v>1178.05</v>
      </c>
      <c r="L25" s="293">
        <v>1.50533620455038</v>
      </c>
      <c r="M25" s="72"/>
      <c r="N25" s="72"/>
    </row>
    <row r="26" spans="1:17" ht="17.399999999999999" x14ac:dyDescent="0.3">
      <c r="A26" s="534"/>
      <c r="B26" s="144"/>
      <c r="C26" s="68">
        <v>82</v>
      </c>
      <c r="D26" s="68" t="s">
        <v>26</v>
      </c>
      <c r="E26" s="673"/>
      <c r="F26" s="70"/>
      <c r="G26" s="130"/>
      <c r="H26" s="534"/>
      <c r="I26" s="144"/>
      <c r="J26" s="68">
        <v>626.5</v>
      </c>
      <c r="K26" s="68">
        <v>1295.71</v>
      </c>
      <c r="L26" s="293"/>
      <c r="M26" s="72"/>
      <c r="N26" s="72"/>
    </row>
    <row r="27" spans="1:17" ht="17.399999999999999" x14ac:dyDescent="0.25">
      <c r="A27" s="657" t="s">
        <v>45</v>
      </c>
      <c r="B27" s="145">
        <v>420</v>
      </c>
      <c r="C27" s="68">
        <v>79</v>
      </c>
      <c r="D27" s="68" t="s">
        <v>26</v>
      </c>
      <c r="E27" s="561">
        <v>0</v>
      </c>
      <c r="F27" s="67"/>
      <c r="G27" s="129"/>
      <c r="H27" s="657" t="s">
        <v>45</v>
      </c>
      <c r="I27" s="145">
        <v>420</v>
      </c>
      <c r="J27" s="68">
        <v>833</v>
      </c>
      <c r="K27" s="68">
        <v>1557.34</v>
      </c>
      <c r="L27" s="293">
        <v>1.67772515742512</v>
      </c>
      <c r="M27" s="72"/>
      <c r="N27" s="72"/>
    </row>
    <row r="28" spans="1:17" ht="17.399999999999999" x14ac:dyDescent="0.3">
      <c r="A28" s="658"/>
      <c r="B28" s="144"/>
      <c r="C28" s="68">
        <v>78</v>
      </c>
      <c r="D28" s="68" t="s">
        <v>26</v>
      </c>
      <c r="E28" s="673"/>
      <c r="F28" s="70"/>
      <c r="G28" s="129"/>
      <c r="H28" s="658"/>
      <c r="I28" s="144"/>
      <c r="J28" s="68">
        <v>589.5</v>
      </c>
      <c r="K28" s="68">
        <v>1247.57</v>
      </c>
      <c r="L28" s="293"/>
      <c r="M28" s="72"/>
      <c r="N28" s="72"/>
    </row>
    <row r="29" spans="1:17" ht="17.399999999999999" x14ac:dyDescent="0.25">
      <c r="A29" s="657" t="s">
        <v>45</v>
      </c>
      <c r="B29" s="146">
        <v>421</v>
      </c>
      <c r="C29" s="68">
        <v>78.5</v>
      </c>
      <c r="D29" s="68" t="s">
        <v>26</v>
      </c>
      <c r="E29" s="561">
        <v>0</v>
      </c>
      <c r="F29" s="67"/>
      <c r="G29" s="129"/>
      <c r="H29" s="657" t="s">
        <v>45</v>
      </c>
      <c r="I29" s="146">
        <v>421</v>
      </c>
      <c r="J29" s="68">
        <v>148</v>
      </c>
      <c r="K29" s="68">
        <v>438.85</v>
      </c>
      <c r="L29" s="293">
        <v>0.40600719746310299</v>
      </c>
      <c r="M29" s="72"/>
      <c r="N29" s="72"/>
    </row>
    <row r="30" spans="1:17" ht="17.399999999999999" x14ac:dyDescent="0.3">
      <c r="A30" s="658"/>
      <c r="B30" s="144"/>
      <c r="C30" s="68">
        <v>74</v>
      </c>
      <c r="D30" s="68" t="s">
        <v>26</v>
      </c>
      <c r="E30" s="673"/>
      <c r="F30" s="70"/>
      <c r="G30" s="2"/>
      <c r="H30" s="658"/>
      <c r="I30" s="144"/>
      <c r="J30" s="68">
        <v>141.5</v>
      </c>
      <c r="K30" s="68">
        <v>400.27</v>
      </c>
      <c r="L30" s="293"/>
      <c r="M30" s="72"/>
      <c r="N30" s="166" t="s">
        <v>28</v>
      </c>
    </row>
    <row r="31" spans="1:17" ht="17.399999999999999" x14ac:dyDescent="0.3">
      <c r="A31" s="657" t="s">
        <v>45</v>
      </c>
      <c r="B31" s="146">
        <v>170</v>
      </c>
      <c r="C31" s="68">
        <v>80</v>
      </c>
      <c r="D31" s="68" t="s">
        <v>26</v>
      </c>
      <c r="E31" s="561">
        <v>0</v>
      </c>
      <c r="F31" s="67"/>
      <c r="G31" s="129"/>
      <c r="H31" s="657" t="s">
        <v>45</v>
      </c>
      <c r="I31" s="146">
        <v>170</v>
      </c>
      <c r="J31" s="68">
        <v>1134</v>
      </c>
      <c r="K31" s="68">
        <v>1936.19</v>
      </c>
      <c r="L31" s="293">
        <v>2.1243070101434798</v>
      </c>
      <c r="M31" s="70"/>
      <c r="N31" s="129"/>
    </row>
    <row r="32" spans="1:17" ht="18" thickBot="1" x14ac:dyDescent="0.3">
      <c r="A32" s="658"/>
      <c r="B32" s="144"/>
      <c r="C32" s="68">
        <v>83.5</v>
      </c>
      <c r="D32" s="68" t="s">
        <v>26</v>
      </c>
      <c r="E32" s="673"/>
      <c r="F32" s="87"/>
      <c r="G32" s="129"/>
      <c r="H32" s="658"/>
      <c r="I32" s="144"/>
      <c r="J32" s="68">
        <v>1089.5</v>
      </c>
      <c r="K32" s="68">
        <v>1879.56</v>
      </c>
      <c r="L32" s="293"/>
      <c r="M32" s="67"/>
      <c r="N32" s="129"/>
    </row>
    <row r="33" spans="1:14" ht="14.4" thickBot="1" x14ac:dyDescent="0.3">
      <c r="A33" s="657" t="s">
        <v>45</v>
      </c>
      <c r="B33" s="146">
        <v>315</v>
      </c>
      <c r="C33" s="68">
        <v>62.5</v>
      </c>
      <c r="D33" s="68" t="s">
        <v>26</v>
      </c>
      <c r="E33" s="676">
        <v>0</v>
      </c>
      <c r="F33" s="680" t="s">
        <v>12</v>
      </c>
      <c r="G33" s="681" t="s">
        <v>13</v>
      </c>
      <c r="H33" s="678" t="s">
        <v>45</v>
      </c>
      <c r="I33" s="146">
        <v>315</v>
      </c>
      <c r="J33" s="68">
        <v>295.5</v>
      </c>
      <c r="K33" s="68">
        <v>817.62</v>
      </c>
      <c r="L33" s="572">
        <v>1.06247843065492</v>
      </c>
      <c r="M33" s="687" t="s">
        <v>12</v>
      </c>
      <c r="N33" s="688" t="s">
        <v>13</v>
      </c>
    </row>
    <row r="34" spans="1:14" ht="14.4" thickBot="1" x14ac:dyDescent="0.3">
      <c r="A34" s="659"/>
      <c r="B34" s="167"/>
      <c r="C34" s="75">
        <v>64</v>
      </c>
      <c r="D34" s="75" t="s">
        <v>26</v>
      </c>
      <c r="E34" s="677"/>
      <c r="F34" s="682">
        <v>0</v>
      </c>
      <c r="G34" s="683">
        <f>STDEV(E21:E33)/SQRT(COUNT(E21:E33))</f>
        <v>0</v>
      </c>
      <c r="H34" s="679"/>
      <c r="I34" s="167"/>
      <c r="J34" s="75">
        <v>353.5</v>
      </c>
      <c r="K34" s="75">
        <v>914.32</v>
      </c>
      <c r="L34" s="684"/>
      <c r="M34" s="685">
        <f>AVERAGE(L21:L33)</f>
        <v>1.0759487348288075</v>
      </c>
      <c r="N34" s="686">
        <f>STDEV(L21:L33)/SQRT(COUNT(L21:L33))</f>
        <v>0.27534982549713216</v>
      </c>
    </row>
    <row r="35" spans="1:14" ht="15.6" x14ac:dyDescent="0.3">
      <c r="A35" s="669" t="s">
        <v>32</v>
      </c>
      <c r="B35" s="147">
        <v>323</v>
      </c>
      <c r="C35" s="66">
        <v>74</v>
      </c>
      <c r="D35" s="66" t="s">
        <v>26</v>
      </c>
      <c r="E35" s="560">
        <v>0</v>
      </c>
      <c r="F35" s="556" t="s">
        <v>236</v>
      </c>
      <c r="G35" s="163"/>
      <c r="H35" s="669" t="s">
        <v>32</v>
      </c>
      <c r="I35" s="147">
        <v>323</v>
      </c>
      <c r="J35" s="66">
        <v>117.5</v>
      </c>
      <c r="K35" s="66" t="s">
        <v>26</v>
      </c>
      <c r="L35" s="560">
        <v>0</v>
      </c>
      <c r="M35" s="556" t="s">
        <v>236</v>
      </c>
      <c r="N35" s="675"/>
    </row>
    <row r="36" spans="1:14" ht="17.399999999999999" x14ac:dyDescent="0.25">
      <c r="A36" s="658"/>
      <c r="B36" s="144"/>
      <c r="C36" s="68">
        <v>77</v>
      </c>
      <c r="D36" s="68" t="s">
        <v>26</v>
      </c>
      <c r="E36" s="673"/>
      <c r="F36" s="164"/>
      <c r="G36" s="129"/>
      <c r="H36" s="658"/>
      <c r="I36" s="144"/>
      <c r="J36" s="68">
        <v>124</v>
      </c>
      <c r="K36" s="68" t="s">
        <v>26</v>
      </c>
      <c r="L36" s="673"/>
      <c r="M36" s="67"/>
      <c r="N36" s="129"/>
    </row>
    <row r="37" spans="1:14" ht="13.8" x14ac:dyDescent="0.25">
      <c r="A37" s="660" t="s">
        <v>32</v>
      </c>
      <c r="B37" s="148">
        <v>253</v>
      </c>
      <c r="C37" s="68">
        <v>85</v>
      </c>
      <c r="D37" s="68" t="s">
        <v>26</v>
      </c>
      <c r="E37" s="561">
        <v>0</v>
      </c>
      <c r="F37" s="130"/>
      <c r="G37" s="129"/>
      <c r="H37" s="660" t="s">
        <v>32</v>
      </c>
      <c r="I37" s="148">
        <v>253</v>
      </c>
      <c r="J37" s="68">
        <v>34</v>
      </c>
      <c r="K37" s="68" t="s">
        <v>26</v>
      </c>
      <c r="L37" s="561">
        <v>0</v>
      </c>
      <c r="M37" s="129"/>
      <c r="N37" s="129"/>
    </row>
    <row r="38" spans="1:14" ht="17.399999999999999" x14ac:dyDescent="0.25">
      <c r="A38" s="658"/>
      <c r="B38" s="144"/>
      <c r="C38" s="68">
        <v>78</v>
      </c>
      <c r="D38" s="68" t="s">
        <v>26</v>
      </c>
      <c r="E38" s="673"/>
      <c r="F38" s="164"/>
      <c r="G38" s="2"/>
      <c r="H38" s="658"/>
      <c r="I38" s="144"/>
      <c r="J38" s="68">
        <v>41</v>
      </c>
      <c r="K38" s="68" t="s">
        <v>26</v>
      </c>
      <c r="L38" s="673"/>
      <c r="M38" s="67"/>
      <c r="N38" s="129"/>
    </row>
    <row r="39" spans="1:14" ht="17.399999999999999" x14ac:dyDescent="0.3">
      <c r="A39" s="660" t="s">
        <v>32</v>
      </c>
      <c r="B39" s="148">
        <v>290</v>
      </c>
      <c r="C39" s="68">
        <v>73.5</v>
      </c>
      <c r="D39" s="68" t="s">
        <v>26</v>
      </c>
      <c r="E39" s="561">
        <v>0</v>
      </c>
      <c r="F39" s="130"/>
      <c r="G39" s="129"/>
      <c r="H39" s="660" t="s">
        <v>32</v>
      </c>
      <c r="I39" s="148">
        <v>290</v>
      </c>
      <c r="J39" s="68">
        <v>72.5</v>
      </c>
      <c r="K39" s="68" t="s">
        <v>26</v>
      </c>
      <c r="L39" s="561">
        <v>0</v>
      </c>
      <c r="M39" s="70"/>
      <c r="N39" s="129"/>
    </row>
    <row r="40" spans="1:14" ht="17.399999999999999" x14ac:dyDescent="0.25">
      <c r="A40" s="658"/>
      <c r="B40" s="144"/>
      <c r="C40" s="68">
        <v>68</v>
      </c>
      <c r="D40" s="68" t="s">
        <v>26</v>
      </c>
      <c r="E40" s="673"/>
      <c r="F40" s="164"/>
      <c r="G40" s="2"/>
      <c r="H40" s="658"/>
      <c r="I40" s="144"/>
      <c r="J40" s="68">
        <v>77</v>
      </c>
      <c r="K40" s="68" t="s">
        <v>26</v>
      </c>
      <c r="L40" s="673"/>
      <c r="M40" s="67"/>
      <c r="N40" s="129"/>
    </row>
    <row r="41" spans="1:14" ht="17.399999999999999" x14ac:dyDescent="0.3">
      <c r="A41" s="660" t="s">
        <v>32</v>
      </c>
      <c r="B41" s="148">
        <v>423</v>
      </c>
      <c r="C41" s="68">
        <v>69</v>
      </c>
      <c r="D41" s="68" t="s">
        <v>26</v>
      </c>
      <c r="E41" s="561">
        <v>0</v>
      </c>
      <c r="F41" s="130"/>
      <c r="G41" s="129"/>
      <c r="H41" s="660" t="s">
        <v>32</v>
      </c>
      <c r="I41" s="148">
        <v>423</v>
      </c>
      <c r="J41" s="68">
        <v>105.5</v>
      </c>
      <c r="K41" s="68" t="s">
        <v>26</v>
      </c>
      <c r="L41" s="561">
        <v>0</v>
      </c>
      <c r="M41" s="70"/>
      <c r="N41" s="2"/>
    </row>
    <row r="42" spans="1:14" ht="17.399999999999999" x14ac:dyDescent="0.25">
      <c r="A42" s="658"/>
      <c r="B42" s="144"/>
      <c r="C42" s="68">
        <v>60</v>
      </c>
      <c r="D42" s="68" t="s">
        <v>26</v>
      </c>
      <c r="E42" s="673"/>
      <c r="F42" s="164"/>
      <c r="G42" s="129"/>
      <c r="H42" s="658"/>
      <c r="I42" s="144"/>
      <c r="J42" s="68">
        <v>118.5</v>
      </c>
      <c r="K42" s="68" t="s">
        <v>26</v>
      </c>
      <c r="L42" s="673"/>
      <c r="M42" s="67"/>
      <c r="N42" s="129"/>
    </row>
    <row r="43" spans="1:14" ht="17.399999999999999" x14ac:dyDescent="0.3">
      <c r="A43" s="660" t="s">
        <v>32</v>
      </c>
      <c r="B43" s="149">
        <v>292</v>
      </c>
      <c r="C43" s="68">
        <v>86</v>
      </c>
      <c r="D43" s="68" t="s">
        <v>26</v>
      </c>
      <c r="E43" s="561">
        <v>0</v>
      </c>
      <c r="F43" s="130"/>
      <c r="G43" s="129"/>
      <c r="H43" s="660" t="s">
        <v>32</v>
      </c>
      <c r="I43" s="149">
        <v>292</v>
      </c>
      <c r="J43" s="68">
        <v>101</v>
      </c>
      <c r="K43" s="68" t="s">
        <v>26</v>
      </c>
      <c r="L43" s="561">
        <v>0</v>
      </c>
      <c r="M43" s="70"/>
      <c r="N43" s="129"/>
    </row>
    <row r="44" spans="1:14" ht="17.399999999999999" x14ac:dyDescent="0.25">
      <c r="A44" s="661"/>
      <c r="B44" s="151"/>
      <c r="C44" s="68">
        <v>77</v>
      </c>
      <c r="D44" s="68" t="s">
        <v>26</v>
      </c>
      <c r="E44" s="673"/>
      <c r="F44" s="164"/>
      <c r="G44" s="129"/>
      <c r="H44" s="661"/>
      <c r="I44" s="151"/>
      <c r="J44" s="68">
        <v>118</v>
      </c>
      <c r="K44" s="68" t="s">
        <v>26</v>
      </c>
      <c r="L44" s="673"/>
      <c r="M44" s="67"/>
      <c r="N44" s="129"/>
    </row>
    <row r="45" spans="1:14" ht="13.8" x14ac:dyDescent="0.25">
      <c r="A45" s="660" t="s">
        <v>32</v>
      </c>
      <c r="B45" s="152">
        <v>293</v>
      </c>
      <c r="C45" s="68">
        <v>82</v>
      </c>
      <c r="D45" s="68" t="s">
        <v>26</v>
      </c>
      <c r="E45" s="561">
        <v>0</v>
      </c>
      <c r="F45" s="130"/>
      <c r="G45" s="129"/>
      <c r="H45" s="660" t="s">
        <v>32</v>
      </c>
      <c r="I45" s="152">
        <v>293</v>
      </c>
      <c r="J45" s="68">
        <v>107.5</v>
      </c>
      <c r="K45" s="68" t="s">
        <v>26</v>
      </c>
      <c r="L45" s="561">
        <v>0</v>
      </c>
      <c r="M45" s="129"/>
      <c r="N45" s="129"/>
    </row>
    <row r="46" spans="1:14" ht="18" thickBot="1" x14ac:dyDescent="0.3">
      <c r="A46" s="661"/>
      <c r="B46" s="151"/>
      <c r="C46" s="68">
        <v>76.5</v>
      </c>
      <c r="D46" s="68" t="s">
        <v>26</v>
      </c>
      <c r="E46" s="673"/>
      <c r="F46" s="164"/>
      <c r="G46" s="129"/>
      <c r="H46" s="661"/>
      <c r="I46" s="151"/>
      <c r="J46" s="68">
        <v>107</v>
      </c>
      <c r="K46" s="68" t="s">
        <v>26</v>
      </c>
      <c r="L46" s="673"/>
      <c r="M46" s="67"/>
      <c r="N46" s="129"/>
    </row>
    <row r="47" spans="1:14" ht="13.8" x14ac:dyDescent="0.25">
      <c r="A47" s="660" t="s">
        <v>32</v>
      </c>
      <c r="B47" s="152">
        <v>390</v>
      </c>
      <c r="C47" s="68">
        <v>95</v>
      </c>
      <c r="D47" s="68" t="s">
        <v>26</v>
      </c>
      <c r="E47" s="561">
        <v>0</v>
      </c>
      <c r="F47" s="689" t="s">
        <v>12</v>
      </c>
      <c r="G47" s="690" t="s">
        <v>13</v>
      </c>
      <c r="H47" s="660" t="s">
        <v>32</v>
      </c>
      <c r="I47" s="152">
        <v>390</v>
      </c>
      <c r="J47" s="68">
        <v>109</v>
      </c>
      <c r="K47" s="68" t="s">
        <v>26</v>
      </c>
      <c r="L47" s="561">
        <v>0</v>
      </c>
      <c r="M47" s="689" t="s">
        <v>12</v>
      </c>
      <c r="N47" s="690" t="s">
        <v>13</v>
      </c>
    </row>
    <row r="48" spans="1:14" ht="14.4" thickBot="1" x14ac:dyDescent="0.3">
      <c r="A48" s="591"/>
      <c r="B48" s="158"/>
      <c r="C48" s="75">
        <v>87</v>
      </c>
      <c r="D48" s="75" t="s">
        <v>26</v>
      </c>
      <c r="E48" s="674"/>
      <c r="F48" s="691">
        <f>AVERAGE(E35:E47)</f>
        <v>0</v>
      </c>
      <c r="G48" s="692">
        <f>STDEV(E35:E47)/SQRT(COUNT(E35:E47))</f>
        <v>0</v>
      </c>
      <c r="H48" s="591"/>
      <c r="I48" s="158"/>
      <c r="J48" s="75">
        <v>113.5</v>
      </c>
      <c r="K48" s="75" t="s">
        <v>26</v>
      </c>
      <c r="L48" s="674"/>
      <c r="M48" s="691">
        <f>AVERAGE(L35:L47)</f>
        <v>0</v>
      </c>
      <c r="N48" s="692">
        <f>STDEV(L35:L47)/SQRT(COUNT(L35:L47))</f>
        <v>0</v>
      </c>
    </row>
    <row r="49" spans="1:14" ht="17.399999999999999" x14ac:dyDescent="0.3">
      <c r="A49" s="670" t="s">
        <v>33</v>
      </c>
      <c r="B49" s="559">
        <v>658</v>
      </c>
      <c r="C49" s="77">
        <v>1907</v>
      </c>
      <c r="D49" s="77">
        <v>2715.64</v>
      </c>
      <c r="E49" s="531">
        <v>2.7738869008102598</v>
      </c>
      <c r="F49" s="67"/>
      <c r="G49" s="163"/>
      <c r="H49" s="662" t="s">
        <v>33</v>
      </c>
      <c r="I49" s="154">
        <v>658</v>
      </c>
      <c r="J49" s="66">
        <v>71.5</v>
      </c>
      <c r="K49" s="66" t="s">
        <v>26</v>
      </c>
      <c r="L49" s="560">
        <v>0</v>
      </c>
      <c r="M49" s="556" t="s">
        <v>236</v>
      </c>
      <c r="N49" s="566"/>
    </row>
    <row r="50" spans="1:14" ht="17.399999999999999" x14ac:dyDescent="0.3">
      <c r="A50" s="534"/>
      <c r="B50" s="151"/>
      <c r="C50" s="68">
        <v>1981</v>
      </c>
      <c r="D50" s="68">
        <v>2828.36</v>
      </c>
      <c r="E50" s="293"/>
      <c r="F50" s="70"/>
      <c r="G50" s="130"/>
      <c r="H50" s="534"/>
      <c r="I50" s="151"/>
      <c r="J50" s="68">
        <v>112.5</v>
      </c>
      <c r="K50" s="68" t="s">
        <v>26</v>
      </c>
      <c r="L50" s="673"/>
      <c r="M50" s="67"/>
      <c r="N50" s="129"/>
    </row>
    <row r="51" spans="1:14" ht="17.399999999999999" x14ac:dyDescent="0.3">
      <c r="A51" s="663" t="s">
        <v>33</v>
      </c>
      <c r="B51" s="155">
        <v>651</v>
      </c>
      <c r="C51" s="68">
        <v>1930.5</v>
      </c>
      <c r="D51" s="68">
        <v>2751.41</v>
      </c>
      <c r="E51" s="293">
        <v>3.0016118736488502</v>
      </c>
      <c r="F51" s="67"/>
      <c r="G51" s="129"/>
      <c r="H51" s="663" t="s">
        <v>33</v>
      </c>
      <c r="I51" s="155">
        <v>651</v>
      </c>
      <c r="J51" s="68">
        <v>37</v>
      </c>
      <c r="K51" s="68" t="s">
        <v>26</v>
      </c>
      <c r="L51" s="561">
        <v>0</v>
      </c>
      <c r="M51" s="70"/>
      <c r="N51" s="129"/>
    </row>
    <row r="52" spans="1:14" ht="17.399999999999999" x14ac:dyDescent="0.3">
      <c r="A52" s="534"/>
      <c r="B52" s="151"/>
      <c r="C52" s="68">
        <v>2243</v>
      </c>
      <c r="D52" s="68">
        <v>3229.86</v>
      </c>
      <c r="E52" s="293"/>
      <c r="F52" s="70"/>
      <c r="G52" s="129"/>
      <c r="H52" s="534"/>
      <c r="I52" s="151"/>
      <c r="J52" s="68">
        <v>21</v>
      </c>
      <c r="K52" s="68" t="s">
        <v>26</v>
      </c>
      <c r="L52" s="673"/>
      <c r="M52" s="67"/>
      <c r="N52" s="129"/>
    </row>
    <row r="53" spans="1:14" ht="17.399999999999999" x14ac:dyDescent="0.25">
      <c r="A53" s="663" t="s">
        <v>33</v>
      </c>
      <c r="B53" s="155">
        <v>652</v>
      </c>
      <c r="C53" s="68">
        <v>1977.5</v>
      </c>
      <c r="D53" s="68">
        <v>2823.02</v>
      </c>
      <c r="E53" s="293">
        <v>2.8692923902289702</v>
      </c>
      <c r="F53" s="67"/>
      <c r="G53" s="129"/>
      <c r="H53" s="663" t="s">
        <v>33</v>
      </c>
      <c r="I53" s="155">
        <v>652</v>
      </c>
      <c r="J53" s="68">
        <v>35</v>
      </c>
      <c r="K53" s="68" t="s">
        <v>26</v>
      </c>
      <c r="L53" s="561">
        <v>0</v>
      </c>
      <c r="M53" s="87"/>
      <c r="N53" s="130"/>
    </row>
    <row r="54" spans="1:14" ht="17.399999999999999" x14ac:dyDescent="0.3">
      <c r="A54" s="534"/>
      <c r="B54" s="151"/>
      <c r="C54" s="68">
        <v>2030.5</v>
      </c>
      <c r="D54" s="68">
        <v>2903.92</v>
      </c>
      <c r="E54" s="293"/>
      <c r="F54" s="70"/>
      <c r="G54" s="2"/>
      <c r="H54" s="534"/>
      <c r="I54" s="151"/>
      <c r="J54" s="68">
        <v>52</v>
      </c>
      <c r="K54" s="68" t="s">
        <v>26</v>
      </c>
      <c r="L54" s="673"/>
      <c r="M54" s="67"/>
      <c r="N54" s="129"/>
    </row>
    <row r="55" spans="1:14" ht="17.399999999999999" x14ac:dyDescent="0.3">
      <c r="A55" s="663" t="s">
        <v>33</v>
      </c>
      <c r="B55" s="155">
        <v>653</v>
      </c>
      <c r="C55" s="68">
        <v>2291.5</v>
      </c>
      <c r="D55" s="68">
        <v>3304.63</v>
      </c>
      <c r="E55" s="293">
        <v>3.2315253473913699</v>
      </c>
      <c r="F55" s="67"/>
      <c r="G55" s="129"/>
      <c r="H55" s="663" t="s">
        <v>33</v>
      </c>
      <c r="I55" s="155">
        <v>653</v>
      </c>
      <c r="J55" s="68">
        <v>78.5</v>
      </c>
      <c r="K55" s="68" t="s">
        <v>26</v>
      </c>
      <c r="L55" s="561">
        <v>0</v>
      </c>
      <c r="M55" s="70"/>
      <c r="N55" s="129"/>
    </row>
    <row r="56" spans="1:14" ht="17.399999999999999" x14ac:dyDescent="0.25">
      <c r="A56" s="534"/>
      <c r="B56" s="151"/>
      <c r="C56" s="68">
        <v>2167</v>
      </c>
      <c r="D56" s="68">
        <v>3112.99</v>
      </c>
      <c r="E56" s="293"/>
      <c r="F56" s="87"/>
      <c r="G56" s="129"/>
      <c r="H56" s="534"/>
      <c r="I56" s="151"/>
      <c r="J56" s="68">
        <v>112.5</v>
      </c>
      <c r="K56" s="68" t="s">
        <v>26</v>
      </c>
      <c r="L56" s="673"/>
      <c r="M56" s="67"/>
      <c r="N56" s="129"/>
    </row>
    <row r="57" spans="1:14" ht="17.399999999999999" x14ac:dyDescent="0.3">
      <c r="A57" s="663" t="s">
        <v>33</v>
      </c>
      <c r="B57" s="155">
        <v>660</v>
      </c>
      <c r="C57" s="68">
        <v>1809.5</v>
      </c>
      <c r="D57" s="68">
        <v>2567.56</v>
      </c>
      <c r="E57" s="293">
        <v>2.5204491296745299</v>
      </c>
      <c r="F57" s="67"/>
      <c r="G57" s="129"/>
      <c r="H57" s="663" t="s">
        <v>33</v>
      </c>
      <c r="I57" s="155">
        <v>660</v>
      </c>
      <c r="J57" s="68">
        <v>118</v>
      </c>
      <c r="K57" s="68" t="s">
        <v>26</v>
      </c>
      <c r="L57" s="561">
        <v>0</v>
      </c>
      <c r="M57" s="70"/>
      <c r="N57" s="2"/>
    </row>
    <row r="58" spans="1:14" ht="17.399999999999999" x14ac:dyDescent="0.3">
      <c r="A58" s="664"/>
      <c r="B58" s="151"/>
      <c r="C58" s="68">
        <v>1757</v>
      </c>
      <c r="D58" s="68">
        <v>2488.0100000000002</v>
      </c>
      <c r="E58" s="293"/>
      <c r="F58" s="70"/>
      <c r="G58" s="130"/>
      <c r="H58" s="664"/>
      <c r="I58" s="151"/>
      <c r="J58" s="68">
        <v>71.5</v>
      </c>
      <c r="K58" s="68" t="s">
        <v>26</v>
      </c>
      <c r="L58" s="673"/>
      <c r="M58" s="67"/>
      <c r="N58" s="129"/>
    </row>
    <row r="59" spans="1:14" ht="17.399999999999999" x14ac:dyDescent="0.3">
      <c r="A59" s="663" t="s">
        <v>33</v>
      </c>
      <c r="B59" s="155">
        <v>659</v>
      </c>
      <c r="C59" s="68">
        <v>2827</v>
      </c>
      <c r="D59" s="68">
        <v>4140.47</v>
      </c>
      <c r="E59" s="293">
        <v>4.0996356053682002</v>
      </c>
      <c r="F59" s="67"/>
      <c r="G59" s="129"/>
      <c r="H59" s="663" t="s">
        <v>33</v>
      </c>
      <c r="I59" s="155">
        <v>659</v>
      </c>
      <c r="J59" s="68">
        <v>39.5</v>
      </c>
      <c r="K59" s="68" t="s">
        <v>26</v>
      </c>
      <c r="L59" s="561">
        <v>0</v>
      </c>
      <c r="M59" s="70"/>
      <c r="N59" s="129"/>
    </row>
    <row r="60" spans="1:14" ht="18" thickBot="1" x14ac:dyDescent="0.35">
      <c r="A60" s="665"/>
      <c r="B60" s="151"/>
      <c r="C60" s="68">
        <v>2678.5</v>
      </c>
      <c r="D60" s="68">
        <v>3906.66</v>
      </c>
      <c r="E60" s="293"/>
      <c r="F60" s="70"/>
      <c r="G60" s="129"/>
      <c r="H60" s="665"/>
      <c r="I60" s="151"/>
      <c r="J60" s="68">
        <v>43.5</v>
      </c>
      <c r="K60" s="68" t="s">
        <v>26</v>
      </c>
      <c r="L60" s="673"/>
      <c r="M60" s="67"/>
      <c r="N60" s="129"/>
    </row>
    <row r="61" spans="1:14" ht="13.8" x14ac:dyDescent="0.25">
      <c r="A61" s="663" t="s">
        <v>33</v>
      </c>
      <c r="B61" s="155">
        <v>656</v>
      </c>
      <c r="C61" s="68">
        <v>2670</v>
      </c>
      <c r="D61" s="68">
        <v>3893.33</v>
      </c>
      <c r="E61" s="572">
        <v>4.0306804860054601</v>
      </c>
      <c r="F61" s="695" t="s">
        <v>12</v>
      </c>
      <c r="G61" s="696" t="s">
        <v>13</v>
      </c>
      <c r="H61" s="693" t="s">
        <v>33</v>
      </c>
      <c r="I61" s="155">
        <v>656</v>
      </c>
      <c r="J61" s="68">
        <v>36.5</v>
      </c>
      <c r="K61" s="68" t="s">
        <v>26</v>
      </c>
      <c r="L61" s="561">
        <v>0</v>
      </c>
      <c r="M61" s="695" t="s">
        <v>12</v>
      </c>
      <c r="N61" s="696" t="s">
        <v>13</v>
      </c>
    </row>
    <row r="62" spans="1:14" ht="14.4" thickBot="1" x14ac:dyDescent="0.3">
      <c r="A62" s="671"/>
      <c r="B62" s="153"/>
      <c r="C62" s="78">
        <v>2754</v>
      </c>
      <c r="D62" s="78">
        <v>4025.33</v>
      </c>
      <c r="E62" s="577"/>
      <c r="F62" s="697">
        <f>AVERAGE(E49:E61)</f>
        <v>3.2181545333039483</v>
      </c>
      <c r="G62" s="698">
        <f>STDEV(E49:E61)/SQRT(COUNT(E49:E61))</f>
        <v>0.2335108930235234</v>
      </c>
      <c r="H62" s="694"/>
      <c r="I62" s="158"/>
      <c r="J62" s="75">
        <v>49</v>
      </c>
      <c r="K62" s="75" t="s">
        <v>26</v>
      </c>
      <c r="L62" s="677"/>
      <c r="M62" s="697">
        <f>AVERAGE(L49:L61)</f>
        <v>0</v>
      </c>
      <c r="N62" s="698">
        <f>STDEV(L49:L61)/SQRT(COUNT(L49:L61))</f>
        <v>0</v>
      </c>
    </row>
    <row r="63" spans="1:14" ht="17.399999999999999" x14ac:dyDescent="0.25">
      <c r="A63" s="672" t="s">
        <v>46</v>
      </c>
      <c r="B63" s="156">
        <v>548</v>
      </c>
      <c r="C63" s="66">
        <v>982.5</v>
      </c>
      <c r="D63" s="66">
        <v>1327.55</v>
      </c>
      <c r="E63" s="291">
        <v>1.2715146441659899</v>
      </c>
      <c r="F63" s="67"/>
      <c r="H63" s="672" t="s">
        <v>46</v>
      </c>
      <c r="I63" s="156">
        <v>548</v>
      </c>
      <c r="J63" s="66">
        <v>119</v>
      </c>
      <c r="K63" s="66" t="s">
        <v>26</v>
      </c>
      <c r="L63" s="560">
        <v>0</v>
      </c>
      <c r="M63" s="556" t="s">
        <v>236</v>
      </c>
      <c r="N63" s="566"/>
    </row>
    <row r="64" spans="1:14" ht="17.399999999999999" x14ac:dyDescent="0.3">
      <c r="A64" s="667"/>
      <c r="B64" s="151"/>
      <c r="C64" s="68">
        <v>943</v>
      </c>
      <c r="D64" s="68">
        <v>1268.8900000000001</v>
      </c>
      <c r="E64" s="293"/>
      <c r="F64" s="70"/>
      <c r="H64" s="667"/>
      <c r="I64" s="151"/>
      <c r="J64" s="68">
        <v>104</v>
      </c>
      <c r="K64" s="68" t="s">
        <v>26</v>
      </c>
      <c r="L64" s="673"/>
      <c r="M64" s="67"/>
      <c r="N64" s="129"/>
    </row>
    <row r="65" spans="1:14" ht="17.399999999999999" x14ac:dyDescent="0.3">
      <c r="A65" s="668" t="s">
        <v>46</v>
      </c>
      <c r="B65" s="157">
        <v>655</v>
      </c>
      <c r="C65" s="68">
        <v>3990.5</v>
      </c>
      <c r="D65" s="68">
        <v>6038.62</v>
      </c>
      <c r="E65" s="564">
        <v>6.4963115013738699</v>
      </c>
      <c r="F65" s="563" t="s">
        <v>215</v>
      </c>
      <c r="G65" s="129"/>
      <c r="H65" s="668" t="s">
        <v>46</v>
      </c>
      <c r="I65" s="157">
        <v>655</v>
      </c>
      <c r="J65" s="68">
        <v>109.5</v>
      </c>
      <c r="K65" s="68" t="s">
        <v>26</v>
      </c>
      <c r="L65" s="561">
        <v>0</v>
      </c>
      <c r="M65" s="70"/>
      <c r="N65" s="2"/>
    </row>
    <row r="66" spans="1:14" ht="17.399999999999999" x14ac:dyDescent="0.25">
      <c r="A66" s="664"/>
      <c r="B66" s="151"/>
      <c r="C66" s="68">
        <v>4178</v>
      </c>
      <c r="D66" s="68">
        <v>6357.51</v>
      </c>
      <c r="E66" s="293"/>
      <c r="F66" s="87"/>
      <c r="G66" s="129"/>
      <c r="H66" s="664"/>
      <c r="I66" s="151"/>
      <c r="J66" s="68">
        <v>114.5</v>
      </c>
      <c r="K66" s="68" t="s">
        <v>26</v>
      </c>
      <c r="L66" s="673"/>
      <c r="M66" s="67"/>
      <c r="N66" s="129"/>
    </row>
    <row r="67" spans="1:14" ht="17.399999999999999" x14ac:dyDescent="0.3">
      <c r="A67" s="668" t="s">
        <v>46</v>
      </c>
      <c r="B67" s="157">
        <v>458</v>
      </c>
      <c r="C67" s="68">
        <v>971.5</v>
      </c>
      <c r="D67" s="68">
        <v>1311.21</v>
      </c>
      <c r="E67" s="293">
        <v>1.2052845913418</v>
      </c>
      <c r="F67" s="67"/>
      <c r="G67" s="129"/>
      <c r="H67" s="668" t="s">
        <v>46</v>
      </c>
      <c r="I67" s="157">
        <v>458</v>
      </c>
      <c r="J67" s="68">
        <v>101.5</v>
      </c>
      <c r="K67" s="68" t="s">
        <v>26</v>
      </c>
      <c r="L67" s="561">
        <v>0</v>
      </c>
      <c r="M67" s="70"/>
      <c r="N67" s="2"/>
    </row>
    <row r="68" spans="1:14" ht="17.399999999999999" x14ac:dyDescent="0.3">
      <c r="A68" s="665"/>
      <c r="B68" s="151"/>
      <c r="C68" s="68">
        <v>864.5</v>
      </c>
      <c r="D68" s="68">
        <v>1152.4100000000001</v>
      </c>
      <c r="E68" s="293"/>
      <c r="F68" s="70"/>
      <c r="G68" s="130"/>
      <c r="H68" s="665"/>
      <c r="I68" s="151"/>
      <c r="J68" s="68">
        <v>107.5</v>
      </c>
      <c r="K68" s="68" t="s">
        <v>26</v>
      </c>
      <c r="L68" s="673"/>
      <c r="M68" s="67"/>
      <c r="N68" s="129" t="s">
        <v>28</v>
      </c>
    </row>
    <row r="69" spans="1:14" ht="17.399999999999999" x14ac:dyDescent="0.3">
      <c r="A69" s="668" t="s">
        <v>46</v>
      </c>
      <c r="B69" s="157">
        <v>441</v>
      </c>
      <c r="C69" s="68">
        <v>768.5</v>
      </c>
      <c r="D69" s="68">
        <v>1010.15</v>
      </c>
      <c r="E69" s="293">
        <v>0.97674058492307803</v>
      </c>
      <c r="F69" s="67"/>
      <c r="G69" s="129"/>
      <c r="H69" s="668" t="s">
        <v>46</v>
      </c>
      <c r="I69" s="157">
        <v>441</v>
      </c>
      <c r="J69" s="68">
        <v>84.5</v>
      </c>
      <c r="K69" s="68" t="s">
        <v>26</v>
      </c>
      <c r="L69" s="561">
        <v>0</v>
      </c>
      <c r="M69" s="70"/>
      <c r="N69" s="129"/>
    </row>
    <row r="70" spans="1:14" ht="17.399999999999999" x14ac:dyDescent="0.3">
      <c r="A70" s="661"/>
      <c r="B70" s="151"/>
      <c r="C70" s="68">
        <v>757</v>
      </c>
      <c r="D70" s="68">
        <v>993.12</v>
      </c>
      <c r="E70" s="293"/>
      <c r="F70" s="70"/>
      <c r="G70" s="129"/>
      <c r="H70" s="661"/>
      <c r="I70" s="151"/>
      <c r="J70" s="68">
        <v>103.5</v>
      </c>
      <c r="K70" s="68" t="s">
        <v>26</v>
      </c>
      <c r="L70" s="673"/>
      <c r="M70" s="67"/>
      <c r="N70" s="129"/>
    </row>
    <row r="71" spans="1:14" ht="17.399999999999999" x14ac:dyDescent="0.25">
      <c r="A71" s="668" t="s">
        <v>46</v>
      </c>
      <c r="B71" s="157">
        <v>459</v>
      </c>
      <c r="C71" s="68">
        <v>718.5</v>
      </c>
      <c r="D71" s="68">
        <v>936.12</v>
      </c>
      <c r="E71" s="293">
        <v>0.92179884912237398</v>
      </c>
      <c r="F71" s="67"/>
      <c r="G71" s="129"/>
      <c r="H71" s="668" t="s">
        <v>46</v>
      </c>
      <c r="I71" s="157">
        <v>459</v>
      </c>
      <c r="J71" s="68">
        <v>118</v>
      </c>
      <c r="K71" s="68" t="s">
        <v>26</v>
      </c>
      <c r="L71" s="561">
        <v>0</v>
      </c>
      <c r="M71" s="87"/>
      <c r="N71" s="130"/>
    </row>
    <row r="72" spans="1:14" ht="17.399999999999999" x14ac:dyDescent="0.3">
      <c r="A72" s="667"/>
      <c r="B72" s="151"/>
      <c r="C72" s="68">
        <v>732</v>
      </c>
      <c r="D72" s="68">
        <v>956.1</v>
      </c>
      <c r="E72" s="293"/>
      <c r="F72" s="70"/>
      <c r="G72" s="129"/>
      <c r="H72" s="667"/>
      <c r="I72" s="151"/>
      <c r="J72" s="68">
        <v>103.5</v>
      </c>
      <c r="K72" s="68" t="s">
        <v>26</v>
      </c>
      <c r="L72" s="673"/>
      <c r="M72" s="67"/>
      <c r="N72" s="129"/>
    </row>
    <row r="73" spans="1:14" ht="17.399999999999999" x14ac:dyDescent="0.3">
      <c r="A73" s="668" t="s">
        <v>46</v>
      </c>
      <c r="B73" s="157">
        <v>546</v>
      </c>
      <c r="C73" s="68">
        <v>663.5</v>
      </c>
      <c r="D73" s="68">
        <v>854.73</v>
      </c>
      <c r="E73" s="293">
        <v>0.85124116597368205</v>
      </c>
      <c r="F73" s="67"/>
      <c r="G73" s="129"/>
      <c r="H73" s="668" t="s">
        <v>46</v>
      </c>
      <c r="I73" s="157">
        <v>546</v>
      </c>
      <c r="J73" s="68">
        <v>101.5</v>
      </c>
      <c r="K73" s="68" t="s">
        <v>26</v>
      </c>
      <c r="L73" s="561">
        <v>0</v>
      </c>
      <c r="M73" s="70"/>
      <c r="N73" s="129" t="s">
        <v>28</v>
      </c>
    </row>
    <row r="74" spans="1:14" ht="17.399999999999999" x14ac:dyDescent="0.3">
      <c r="A74" s="664"/>
      <c r="B74" s="151"/>
      <c r="C74" s="68">
        <v>690.5</v>
      </c>
      <c r="D74" s="68">
        <v>894.68</v>
      </c>
      <c r="E74" s="293"/>
      <c r="F74" s="70"/>
      <c r="G74" s="129"/>
      <c r="H74" s="664"/>
      <c r="I74" s="151"/>
      <c r="J74" s="68">
        <v>102.5</v>
      </c>
      <c r="K74" s="68" t="s">
        <v>26</v>
      </c>
      <c r="L74" s="673"/>
      <c r="M74" s="67"/>
      <c r="N74" s="129"/>
    </row>
    <row r="75" spans="1:14" ht="17.399999999999999" x14ac:dyDescent="0.3">
      <c r="A75" s="668" t="s">
        <v>46</v>
      </c>
      <c r="B75" s="157">
        <v>486</v>
      </c>
      <c r="C75" s="68">
        <v>381.5</v>
      </c>
      <c r="D75" s="68">
        <v>437.93</v>
      </c>
      <c r="E75" s="293">
        <v>0.40983627330532002</v>
      </c>
      <c r="F75" s="67"/>
      <c r="G75" s="129"/>
      <c r="H75" s="668" t="s">
        <v>46</v>
      </c>
      <c r="I75" s="157">
        <v>486</v>
      </c>
      <c r="J75" s="68">
        <v>103.5</v>
      </c>
      <c r="K75" s="68" t="s">
        <v>26</v>
      </c>
      <c r="L75" s="561">
        <v>0</v>
      </c>
      <c r="M75" s="70"/>
      <c r="N75" s="129"/>
    </row>
    <row r="76" spans="1:14" ht="18" thickBot="1" x14ac:dyDescent="0.35">
      <c r="A76" s="665"/>
      <c r="B76" s="151"/>
      <c r="C76" s="68">
        <v>365.5</v>
      </c>
      <c r="D76" s="68">
        <v>414.29</v>
      </c>
      <c r="E76" s="293"/>
      <c r="F76" s="70"/>
      <c r="G76" s="129"/>
      <c r="H76" s="665"/>
      <c r="I76" s="151"/>
      <c r="J76" s="68">
        <v>106</v>
      </c>
      <c r="K76" s="68" t="s">
        <v>26</v>
      </c>
      <c r="L76" s="673"/>
      <c r="M76" s="67"/>
      <c r="N76" s="129" t="s">
        <v>28</v>
      </c>
    </row>
    <row r="77" spans="1:14" ht="13.8" x14ac:dyDescent="0.25">
      <c r="A77" s="668" t="s">
        <v>46</v>
      </c>
      <c r="B77" s="157">
        <v>549</v>
      </c>
      <c r="C77" s="68">
        <v>1445</v>
      </c>
      <c r="D77" s="68">
        <v>2017.84</v>
      </c>
      <c r="E77" s="572">
        <v>2.1908707567933998</v>
      </c>
      <c r="F77" s="700" t="s">
        <v>12</v>
      </c>
      <c r="G77" s="701" t="s">
        <v>13</v>
      </c>
      <c r="H77" s="699" t="s">
        <v>46</v>
      </c>
      <c r="I77" s="157">
        <v>549</v>
      </c>
      <c r="J77" s="68">
        <v>74.5</v>
      </c>
      <c r="K77" s="68" t="s">
        <v>26</v>
      </c>
      <c r="L77" s="561">
        <v>0</v>
      </c>
      <c r="M77" s="700" t="s">
        <v>12</v>
      </c>
      <c r="N77" s="701" t="s">
        <v>13</v>
      </c>
    </row>
    <row r="78" spans="1:14" ht="14.4" thickBot="1" x14ac:dyDescent="0.3">
      <c r="A78" s="666"/>
      <c r="B78" s="158"/>
      <c r="C78" s="75">
        <v>1697.5</v>
      </c>
      <c r="D78" s="75">
        <v>2398.02</v>
      </c>
      <c r="E78" s="580"/>
      <c r="F78" s="702">
        <f>AVERAGE(E63,E67:E77)</f>
        <v>1.1181838379465205</v>
      </c>
      <c r="G78" s="703">
        <f>STDEV(E63,E67:E77)/SQRT(COUNT(E63,E67:E77))</f>
        <v>0.20778549054239182</v>
      </c>
      <c r="H78" s="694"/>
      <c r="I78" s="158"/>
      <c r="J78" s="75">
        <v>90.5</v>
      </c>
      <c r="K78" s="75" t="s">
        <v>26</v>
      </c>
      <c r="L78" s="674"/>
      <c r="M78" s="702">
        <f>AVERAGE(L63,L67:L77)</f>
        <v>0</v>
      </c>
      <c r="N78" s="703">
        <f>STDEV(L63,L67:L77)/SQRT(COUNT(L63,L67:L77))</f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Fig 1B</vt:lpstr>
      <vt:lpstr>Fig 1C</vt:lpstr>
      <vt:lpstr>Fig 1D</vt:lpstr>
      <vt:lpstr>Fig 1E</vt:lpstr>
      <vt:lpstr>Fig 1F</vt:lpstr>
      <vt:lpstr>Fig 2B</vt:lpstr>
      <vt:lpstr>Fig 2C</vt:lpstr>
      <vt:lpstr>Fig 2D</vt:lpstr>
      <vt:lpstr>Fig 2F</vt:lpstr>
      <vt:lpstr>Fig 3A-C</vt:lpstr>
      <vt:lpstr>Fig 4A</vt:lpstr>
      <vt:lpstr>Fig 4B-D</vt:lpstr>
      <vt:lpstr>Fig 5A</vt:lpstr>
      <vt:lpstr>Fig 5B</vt:lpstr>
      <vt:lpstr>Fig 5E</vt:lpstr>
      <vt:lpstr>Fig 6C</vt:lpstr>
      <vt:lpstr>Supplemental Figure 1</vt:lpstr>
      <vt:lpstr>Supplemental Fig 2</vt:lpstr>
      <vt:lpstr>'Fig 2D'!Print_Area</vt:lpstr>
    </vt:vector>
  </TitlesOfParts>
  <Company>Dell Computer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Preferred Customer</dc:creator>
  <cp:lastModifiedBy>Sisson, Thomas</cp:lastModifiedBy>
  <cp:lastPrinted>2016-03-15T13:54:28Z</cp:lastPrinted>
  <dcterms:created xsi:type="dcterms:W3CDTF">1999-11-22T07:15:42Z</dcterms:created>
  <dcterms:modified xsi:type="dcterms:W3CDTF">2025-02-26T16:00:32Z</dcterms:modified>
</cp:coreProperties>
</file>