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spencer/Library/CloudStorage/Box-Box/MANUSCRIPTS 2/2025 LYZ2 FINAL SUBMISSION/FINAL SUBMISSION MATERIALS/"/>
    </mc:Choice>
  </mc:AlternateContent>
  <xr:revisionPtr revIDLastSave="0" documentId="8_{71533255-16AE-C845-9E98-E7BB71191617}" xr6:coauthVersionLast="47" xr6:coauthVersionMax="47" xr10:uidLastSave="{00000000-0000-0000-0000-000000000000}"/>
  <bookViews>
    <workbookView xWindow="20" yWindow="760" windowWidth="28800" windowHeight="16380" firstSheet="1" activeTab="12" xr2:uid="{5DB16A11-D89B-724D-88B7-8B40F99C1018}"/>
  </bookViews>
  <sheets>
    <sheet name="FIG 1D" sheetId="10" r:id="rId1"/>
    <sheet name="FIG 2D" sheetId="12" r:id="rId2"/>
    <sheet name="FIG 3D" sheetId="11" r:id="rId3"/>
    <sheet name="Fig 4C (left)" sheetId="15" r:id="rId4"/>
    <sheet name="FIG 4C (right)" sheetId="16" r:id="rId5"/>
    <sheet name="FIG 5" sheetId="18" r:id="rId6"/>
    <sheet name="FIG 6 C PERILIPIN" sheetId="1" r:id="rId7"/>
    <sheet name="FIG 6C OIL RED O" sheetId="2" r:id="rId8"/>
    <sheet name="FIG 6D PULM FXN" sheetId="17" r:id="rId9"/>
    <sheet name="SUPP FIG 4F" sheetId="19" r:id="rId10"/>
    <sheet name="SUPP 9A" sheetId="7" r:id="rId11"/>
    <sheet name="SUPP 9B" sheetId="6" r:id="rId12"/>
    <sheet name="SUPP 9C,D" sheetId="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7" l="1"/>
  <c r="E28" i="17"/>
  <c r="C28" i="17"/>
  <c r="B28" i="17"/>
  <c r="H10" i="19"/>
  <c r="G10" i="19"/>
  <c r="D10" i="19"/>
  <c r="C10" i="19"/>
  <c r="F4" i="11"/>
  <c r="E9" i="11"/>
  <c r="E8" i="11"/>
  <c r="E7" i="11"/>
  <c r="E6" i="11"/>
  <c r="E5" i="11"/>
  <c r="E4" i="11"/>
  <c r="F8" i="10"/>
  <c r="F6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7" i="10"/>
  <c r="F5" i="10"/>
  <c r="E25" i="17"/>
  <c r="E26" i="17" s="1"/>
  <c r="F24" i="17"/>
  <c r="E24" i="17"/>
  <c r="F25" i="17"/>
  <c r="F26" i="17" s="1"/>
  <c r="E12" i="17"/>
  <c r="E13" i="17" s="1"/>
  <c r="F11" i="17"/>
  <c r="F12" i="17" s="1"/>
  <c r="F13" i="17" s="1"/>
  <c r="E11" i="17"/>
  <c r="B26" i="17"/>
  <c r="C25" i="17"/>
  <c r="C26" i="17" s="1"/>
  <c r="B25" i="17"/>
  <c r="C24" i="17"/>
  <c r="B24" i="17"/>
  <c r="B13" i="17"/>
  <c r="C12" i="17"/>
  <c r="C13" i="17" s="1"/>
  <c r="B12" i="17"/>
  <c r="C11" i="17"/>
  <c r="B11" i="17"/>
  <c r="K18" i="16"/>
  <c r="L25" i="15"/>
  <c r="K25" i="15"/>
  <c r="L23" i="15"/>
  <c r="K23" i="15"/>
  <c r="L21" i="15"/>
  <c r="K21" i="15"/>
  <c r="L20" i="15"/>
  <c r="K20" i="15"/>
  <c r="L19" i="15"/>
  <c r="K19" i="15"/>
  <c r="L18" i="15"/>
  <c r="K18" i="15"/>
  <c r="L25" i="16" l="1"/>
  <c r="K25" i="16"/>
  <c r="L24" i="16"/>
  <c r="K24" i="16"/>
  <c r="L23" i="16"/>
  <c r="K23" i="16"/>
  <c r="L22" i="16"/>
  <c r="K22" i="16"/>
  <c r="L21" i="16"/>
  <c r="K21" i="16"/>
  <c r="L20" i="16"/>
  <c r="K20" i="16"/>
  <c r="L19" i="16"/>
  <c r="K19" i="16"/>
  <c r="L18" i="16"/>
  <c r="E5" i="12" l="1"/>
  <c r="D13" i="12"/>
  <c r="F13" i="12" s="1"/>
  <c r="C13" i="12"/>
  <c r="E13" i="12" s="1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F5" i="12"/>
  <c r="D10" i="11"/>
  <c r="F10" i="11" s="1"/>
  <c r="C10" i="11"/>
  <c r="E10" i="11" s="1"/>
  <c r="F9" i="11"/>
  <c r="F8" i="11"/>
  <c r="F7" i="11"/>
  <c r="F6" i="11"/>
  <c r="F5" i="11"/>
  <c r="L30" i="2"/>
  <c r="M6" i="2"/>
  <c r="Y6" i="2"/>
  <c r="O15" i="8"/>
  <c r="O32" i="8"/>
  <c r="R5" i="8"/>
  <c r="R18" i="8"/>
  <c r="P18" i="8"/>
  <c r="P5" i="8"/>
  <c r="L29" i="2" l="1"/>
  <c r="X32" i="2"/>
  <c r="P16" i="7"/>
  <c r="P17" i="7"/>
  <c r="P10" i="7"/>
  <c r="P9" i="7"/>
  <c r="P8" i="7"/>
  <c r="P7" i="7"/>
  <c r="P6" i="7"/>
  <c r="P5" i="7"/>
  <c r="P21" i="7"/>
  <c r="P20" i="7"/>
  <c r="P19" i="7"/>
  <c r="P18" i="7"/>
  <c r="K24" i="6"/>
  <c r="L24" i="6" s="1"/>
  <c r="J24" i="6"/>
  <c r="X32" i="1" l="1"/>
  <c r="X31" i="1"/>
  <c r="X30" i="1"/>
  <c r="X29" i="1"/>
  <c r="K29" i="1"/>
  <c r="X28" i="1"/>
  <c r="K28" i="1"/>
  <c r="X27" i="1"/>
  <c r="K27" i="1"/>
  <c r="X26" i="1"/>
  <c r="I26" i="1"/>
  <c r="K26" i="1" s="1"/>
  <c r="X25" i="1"/>
  <c r="I25" i="1"/>
  <c r="K25" i="1" s="1"/>
  <c r="X24" i="1"/>
  <c r="Y24" i="1" s="1"/>
  <c r="I24" i="1"/>
  <c r="K24" i="1" s="1"/>
  <c r="X23" i="1"/>
  <c r="K23" i="1"/>
  <c r="X22" i="1"/>
  <c r="K22" i="1"/>
  <c r="X21" i="1"/>
  <c r="K21" i="1"/>
  <c r="L21" i="1" s="1"/>
  <c r="X20" i="1"/>
  <c r="K20" i="1"/>
  <c r="X19" i="1"/>
  <c r="K19" i="1"/>
  <c r="X18" i="1"/>
  <c r="I18" i="1"/>
  <c r="K18" i="1" s="1"/>
  <c r="V17" i="1"/>
  <c r="X17" i="1" s="1"/>
  <c r="I17" i="1"/>
  <c r="K17" i="1" s="1"/>
  <c r="V16" i="1"/>
  <c r="X16" i="1" s="1"/>
  <c r="I16" i="1"/>
  <c r="K16" i="1" s="1"/>
  <c r="V15" i="1"/>
  <c r="X15" i="1" s="1"/>
  <c r="I15" i="1"/>
  <c r="K15" i="1" s="1"/>
  <c r="V14" i="1"/>
  <c r="X14" i="1" s="1"/>
  <c r="I14" i="1"/>
  <c r="K14" i="1" s="1"/>
  <c r="X13" i="1"/>
  <c r="I13" i="1"/>
  <c r="K13" i="1" s="1"/>
  <c r="X12" i="1"/>
  <c r="I12" i="1"/>
  <c r="K12" i="1" s="1"/>
  <c r="X11" i="1"/>
  <c r="K11" i="1"/>
  <c r="V10" i="1"/>
  <c r="X10" i="1" s="1"/>
  <c r="I10" i="1"/>
  <c r="K10" i="1" s="1"/>
  <c r="V9" i="1"/>
  <c r="X9" i="1" s="1"/>
  <c r="K9" i="1"/>
  <c r="V8" i="1"/>
  <c r="X8" i="1" s="1"/>
  <c r="K8" i="1"/>
  <c r="V7" i="1"/>
  <c r="X7" i="1" s="1"/>
  <c r="K7" i="1"/>
  <c r="V6" i="1"/>
  <c r="X6" i="1" s="1"/>
  <c r="K6" i="1"/>
  <c r="Y30" i="1" l="1"/>
  <c r="Y9" i="1"/>
  <c r="L6" i="1"/>
  <c r="Y27" i="1"/>
  <c r="Y21" i="1"/>
  <c r="L18" i="1"/>
  <c r="L12" i="1"/>
  <c r="L9" i="1"/>
  <c r="Y15" i="1"/>
  <c r="Y12" i="1"/>
  <c r="L15" i="1"/>
  <c r="Y18" i="1"/>
  <c r="L27" i="1"/>
  <c r="L24" i="1"/>
  <c r="Y6" i="1"/>
  <c r="Z6" i="1" l="1"/>
  <c r="L33" i="1"/>
  <c r="L31" i="1"/>
  <c r="M6" i="1"/>
  <c r="Y34" i="1"/>
</calcChain>
</file>

<file path=xl/sharedStrings.xml><?xml version="1.0" encoding="utf-8"?>
<sst xmlns="http://schemas.openxmlformats.org/spreadsheetml/2006/main" count="1073" uniqueCount="289">
  <si>
    <t>Biological replicate</t>
  </si>
  <si>
    <t>Technical replicate</t>
  </si>
  <si>
    <t>Mouse ID</t>
  </si>
  <si>
    <t>Box</t>
  </si>
  <si>
    <t>Age</t>
  </si>
  <si>
    <t>Genotype</t>
  </si>
  <si>
    <t>Muscle type</t>
  </si>
  <si>
    <t>Muscle CSA</t>
  </si>
  <si>
    <t>Perilipin CSA</t>
  </si>
  <si>
    <t>% Perilipin</t>
  </si>
  <si>
    <t>3 month</t>
  </si>
  <si>
    <t>Spp1 fl/fl Lyz2 Het</t>
  </si>
  <si>
    <t>Diaphragm</t>
  </si>
  <si>
    <t>Spp1 fl/fl Lyz2 WT</t>
  </si>
  <si>
    <t>349RC</t>
  </si>
  <si>
    <t>6 month</t>
  </si>
  <si>
    <t>Spp1 fl/fl Lyz2 Cre Het</t>
  </si>
  <si>
    <t>AVG</t>
  </si>
  <si>
    <t>T Test</t>
  </si>
  <si>
    <t>mdx</t>
  </si>
  <si>
    <t>Oil Red O CSA</t>
  </si>
  <si>
    <t>% Oil red O</t>
  </si>
  <si>
    <t xml:space="preserve">Number of </t>
  </si>
  <si>
    <t>REAR Events</t>
  </si>
  <si>
    <t>ID</t>
  </si>
  <si>
    <t>DOB</t>
  </si>
  <si>
    <t>Sex</t>
  </si>
  <si>
    <t>Test Date</t>
  </si>
  <si>
    <t>Age(w)</t>
  </si>
  <si>
    <t>Weight</t>
  </si>
  <si>
    <t>Averages</t>
  </si>
  <si>
    <t>SD</t>
  </si>
  <si>
    <t>SEM</t>
  </si>
  <si>
    <t>N</t>
  </si>
  <si>
    <t>Flox Spp1 Lyz2 - cre/mdx c57 cong Het</t>
  </si>
  <si>
    <t>M</t>
  </si>
  <si>
    <t>3 M</t>
  </si>
  <si>
    <t>3M</t>
  </si>
  <si>
    <t>349 RC</t>
  </si>
  <si>
    <t>480 RC</t>
  </si>
  <si>
    <t>359 RC</t>
  </si>
  <si>
    <t>MACROPHAGE CKO</t>
  </si>
  <si>
    <t>MDX</t>
  </si>
  <si>
    <t>Flox Spp1 Lyz2 - cre/mdx c57 cong CRE NEG</t>
  </si>
  <si>
    <t>9616(RP)</t>
  </si>
  <si>
    <t>397 NC</t>
  </si>
  <si>
    <t>12w</t>
  </si>
  <si>
    <t>Time(min)</t>
  </si>
  <si>
    <t>OPEN FIELD DISTANCE TRAVELED</t>
  </si>
  <si>
    <t>AVG MDX</t>
  </si>
  <si>
    <t>Mac cKO</t>
  </si>
  <si>
    <t>OPEN FIELD REAR EVENTS</t>
  </si>
  <si>
    <t>TIME</t>
  </si>
  <si>
    <r>
      <t>Spp1</t>
    </r>
    <r>
      <rPr>
        <b/>
        <vertAlign val="superscript"/>
        <sz val="11"/>
        <color rgb="FF000000"/>
        <rFont val="Arial"/>
        <family val="2"/>
      </rPr>
      <t>fl/fl</t>
    </r>
    <r>
      <rPr>
        <b/>
        <sz val="11"/>
        <color rgb="FF000000"/>
        <rFont val="Arial"/>
        <family val="2"/>
      </rPr>
      <t xml:space="preserve"> Lyz2</t>
    </r>
    <r>
      <rPr>
        <b/>
        <vertAlign val="superscript"/>
        <sz val="11"/>
        <color rgb="FF000000"/>
        <rFont val="Arial"/>
        <family val="2"/>
      </rPr>
      <t>cre/WT</t>
    </r>
    <r>
      <rPr>
        <b/>
        <sz val="11"/>
        <color rgb="FF000000"/>
        <rFont val="Arial"/>
        <family val="2"/>
      </rPr>
      <t xml:space="preserve"> DMD</t>
    </r>
    <r>
      <rPr>
        <b/>
        <i/>
        <vertAlign val="superscript"/>
        <sz val="11"/>
        <color rgb="FF000000"/>
        <rFont val="Arial"/>
        <family val="2"/>
      </rPr>
      <t>mdx</t>
    </r>
    <r>
      <rPr>
        <b/>
        <sz val="11"/>
        <color rgb="FF000000"/>
        <rFont val="Arial"/>
        <family val="2"/>
      </rPr>
      <t xml:space="preserve"> </t>
    </r>
  </si>
  <si>
    <r>
      <t xml:space="preserve">Spp1fl/fl </t>
    </r>
    <r>
      <rPr>
        <b/>
        <sz val="11"/>
        <color indexed="8"/>
        <rFont val="Arial"/>
        <family val="2"/>
      </rPr>
      <t xml:space="preserve"> DMD</t>
    </r>
    <r>
      <rPr>
        <b/>
        <i/>
        <vertAlign val="superscript"/>
        <sz val="11"/>
        <color indexed="8"/>
        <rFont val="Arial"/>
        <family val="2"/>
      </rPr>
      <t>mdx</t>
    </r>
    <r>
      <rPr>
        <b/>
        <sz val="11"/>
        <color indexed="8"/>
        <rFont val="Arial"/>
        <family val="2"/>
      </rPr>
      <t xml:space="preserve"> </t>
    </r>
  </si>
  <si>
    <t>WIRE MESH</t>
  </si>
  <si>
    <t>Wire Mesh 5' max 1 minute break</t>
  </si>
  <si>
    <r>
      <t>T</t>
    </r>
    <r>
      <rPr>
        <b/>
        <vertAlign val="subscript"/>
        <sz val="10"/>
        <rFont val="Verdana"/>
        <family val="2"/>
      </rPr>
      <t>1</t>
    </r>
  </si>
  <si>
    <r>
      <t>T</t>
    </r>
    <r>
      <rPr>
        <b/>
        <vertAlign val="subscript"/>
        <sz val="10"/>
        <rFont val="Verdana"/>
        <family val="2"/>
      </rPr>
      <t>2</t>
    </r>
  </si>
  <si>
    <r>
      <t>T</t>
    </r>
    <r>
      <rPr>
        <b/>
        <vertAlign val="subscript"/>
        <sz val="10"/>
        <rFont val="Verdana"/>
        <family val="2"/>
      </rPr>
      <t>3</t>
    </r>
  </si>
  <si>
    <r>
      <t>T</t>
    </r>
    <r>
      <rPr>
        <b/>
        <vertAlign val="subscript"/>
        <sz val="10"/>
        <rFont val="Verdana"/>
        <family val="2"/>
      </rPr>
      <t>4</t>
    </r>
  </si>
  <si>
    <r>
      <t>T</t>
    </r>
    <r>
      <rPr>
        <b/>
        <vertAlign val="subscript"/>
        <sz val="10"/>
        <rFont val="Verdana"/>
        <family val="2"/>
      </rPr>
      <t>5</t>
    </r>
  </si>
  <si>
    <t>Average</t>
  </si>
  <si>
    <t>Normalized</t>
  </si>
  <si>
    <t>Normalized T5</t>
  </si>
  <si>
    <t>Spp1 fl/fl Lyz2 HET</t>
  </si>
  <si>
    <t>MACPHAGE CKO\</t>
  </si>
  <si>
    <t>NORMALIZED CELL COUNTS STROMAL CELLS</t>
  </si>
  <si>
    <t>Column B</t>
  </si>
  <si>
    <t>Mϕ cKO</t>
  </si>
  <si>
    <t>vs.</t>
  </si>
  <si>
    <t>Column A</t>
  </si>
  <si>
    <t>Mdx</t>
  </si>
  <si>
    <t>Mann Whitney test</t>
  </si>
  <si>
    <t>P value</t>
  </si>
  <si>
    <t>Exact or approximate P value?</t>
  </si>
  <si>
    <t>Exact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</si>
  <si>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</si>
  <si>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</si>
  <si>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</si>
  <si>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</si>
  <si>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</si>
  <si>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</si>
  <si>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Sum of ranks in column A,B</t>
  </si>
  <si>
    <t>91 , 209</t>
  </si>
  <si>
    <t>Mann-Whitney U</t>
  </si>
  <si>
    <t>Difference between medians</t>
  </si>
  <si>
    <t>Median of column A</t>
  </si>
  <si>
    <t>0.4650, n=10</t>
  </si>
  <si>
    <t>Median of column B</t>
  </si>
  <si>
    <t>1.235, n=14</t>
  </si>
  <si>
    <t>Difference: Actual</t>
  </si>
  <si>
    <t>Difference: Hodges-Lehmann</t>
  </si>
  <si>
    <t>ns</t>
  </si>
  <si>
    <t>No</t>
  </si>
  <si>
    <t>94 , 206</t>
  </si>
  <si>
    <t>1.280, n=10</t>
  </si>
  <si>
    <t>2.140, n=14</t>
  </si>
  <si>
    <t>TTEST</t>
  </si>
  <si>
    <t>Raw cell counts</t>
  </si>
  <si>
    <t>Normalized percentages</t>
  </si>
  <si>
    <t>Total</t>
  </si>
  <si>
    <t>Control</t>
  </si>
  <si>
    <t>Cluster</t>
  </si>
  <si>
    <t>Normalized control</t>
  </si>
  <si>
    <t>Normalized cKO</t>
  </si>
  <si>
    <t>Activated fibroblasts</t>
  </si>
  <si>
    <t>Raw cells counts</t>
  </si>
  <si>
    <t>FAPs</t>
  </si>
  <si>
    <t>Fibroblasts</t>
  </si>
  <si>
    <t>Lifr(+) cells</t>
  </si>
  <si>
    <t>Procr(+) cells</t>
  </si>
  <si>
    <t>Tenocytes</t>
  </si>
  <si>
    <t>M2-like (SkMRM)</t>
  </si>
  <si>
    <t>M2a-M2c like</t>
  </si>
  <si>
    <t>M1-like</t>
  </si>
  <si>
    <t>M2c-like</t>
  </si>
  <si>
    <t>Monocyte 1</t>
  </si>
  <si>
    <t>Monocyte 2</t>
  </si>
  <si>
    <t>Dendritic cell 1</t>
  </si>
  <si>
    <t>Dendritic cell 2</t>
  </si>
  <si>
    <t>Cluster name</t>
  </si>
  <si>
    <t>Pparg</t>
  </si>
  <si>
    <t>Cd36</t>
  </si>
  <si>
    <t>Slc27a1</t>
  </si>
  <si>
    <t>Fabp4</t>
  </si>
  <si>
    <t>Fabp5</t>
  </si>
  <si>
    <t>Cebpa</t>
  </si>
  <si>
    <t>Adipoq</t>
  </si>
  <si>
    <t>Lpl</t>
  </si>
  <si>
    <t>Procr 1</t>
  </si>
  <si>
    <t>Procr 2</t>
  </si>
  <si>
    <t>Procr 3</t>
  </si>
  <si>
    <t>Lifr 1</t>
  </si>
  <si>
    <t>Lifr 2</t>
  </si>
  <si>
    <t>Lifr 3</t>
  </si>
  <si>
    <t>FAP 1</t>
  </si>
  <si>
    <t>FAP2</t>
  </si>
  <si>
    <t>FAP 3</t>
  </si>
  <si>
    <t>Z-scores</t>
  </si>
  <si>
    <t>Gene</t>
  </si>
  <si>
    <t>Mean</t>
  </si>
  <si>
    <t>Raw read counts</t>
  </si>
  <si>
    <t>Pdgfra</t>
  </si>
  <si>
    <t>Ly6a</t>
  </si>
  <si>
    <t>Pi16</t>
  </si>
  <si>
    <t>Cd34</t>
  </si>
  <si>
    <t>Dpp4</t>
  </si>
  <si>
    <t>Sox4</t>
  </si>
  <si>
    <t>Lifr</t>
  </si>
  <si>
    <t>Procr</t>
  </si>
  <si>
    <t>Genes</t>
  </si>
  <si>
    <t>Sample (Mac cKO)</t>
  </si>
  <si>
    <t>Sample (Control)</t>
  </si>
  <si>
    <t>fg</t>
  </si>
  <si>
    <t>Wire Mesh_T5 only 3 months-Graph Pad</t>
  </si>
  <si>
    <t>Wire Mesh_3 months-Graph Pad</t>
  </si>
  <si>
    <t>FAPs mdx1</t>
  </si>
  <si>
    <t>FAPs mdx2</t>
  </si>
  <si>
    <t>FAPs mdx3</t>
  </si>
  <si>
    <t>Lifr mdx1</t>
  </si>
  <si>
    <t>Lifr mdx2</t>
  </si>
  <si>
    <t>Lifr mdx3</t>
  </si>
  <si>
    <t>Procr mdx1</t>
  </si>
  <si>
    <t>Procr mdx2</t>
  </si>
  <si>
    <t>Procr mdx3</t>
  </si>
  <si>
    <t>Procr mdx 1</t>
  </si>
  <si>
    <t>Procr mdx 2</t>
  </si>
  <si>
    <t>Procr mdx 3</t>
  </si>
  <si>
    <t>Lifr mdx 2</t>
  </si>
  <si>
    <t>Lifr mdx 3</t>
  </si>
  <si>
    <t>FAPs mdx 1</t>
  </si>
  <si>
    <t>FAPs mdx 2</t>
  </si>
  <si>
    <t>FAPs mdx 3</t>
  </si>
  <si>
    <t xml:space="preserve">SEM </t>
  </si>
  <si>
    <t>Baseline</t>
  </si>
  <si>
    <t>mdx 1</t>
  </si>
  <si>
    <t>mdx 2</t>
  </si>
  <si>
    <t>mdx 3</t>
  </si>
  <si>
    <t>mdx 4</t>
  </si>
  <si>
    <t>mdx 5</t>
  </si>
  <si>
    <t>mdx 6</t>
  </si>
  <si>
    <t>mdx 7</t>
  </si>
  <si>
    <t>Peak inspiratory function</t>
  </si>
  <si>
    <t>T test</t>
  </si>
  <si>
    <t xml:space="preserve">CO2 </t>
  </si>
  <si>
    <t>Minute Ventilation</t>
  </si>
  <si>
    <t>all data normalized to body weight</t>
  </si>
  <si>
    <t xml:space="preserve">GroupedCellType    </t>
  </si>
  <si>
    <t xml:space="preserve"> Genotype</t>
  </si>
  <si>
    <t>Number of cells</t>
  </si>
  <si>
    <t>Percent of total</t>
  </si>
  <si>
    <t xml:space="preserve"> B cells            </t>
  </si>
  <si>
    <t xml:space="preserve"> Endothelial cells  </t>
  </si>
  <si>
    <t xml:space="preserve"> Macrophages         </t>
  </si>
  <si>
    <t xml:space="preserve"> Macrophages       </t>
  </si>
  <si>
    <t xml:space="preserve"> Muscle stem cells  </t>
  </si>
  <si>
    <t xml:space="preserve"> Muscle stem cells   </t>
  </si>
  <si>
    <t xml:space="preserve"> Neutrophils        </t>
  </si>
  <si>
    <t xml:space="preserve">Neutrophils        </t>
  </si>
  <si>
    <t xml:space="preserve">RBCs                </t>
  </si>
  <si>
    <t xml:space="preserve">RBCs               </t>
  </si>
  <si>
    <t xml:space="preserve">Smooth muscle cells </t>
  </si>
  <si>
    <t xml:space="preserve"> Smooth muscle cells mdx         </t>
  </si>
  <si>
    <t xml:space="preserve">Stromal cells       </t>
  </si>
  <si>
    <t xml:space="preserve">T cells           </t>
  </si>
  <si>
    <t>Total cells/ sample</t>
  </si>
  <si>
    <t>Column1</t>
  </si>
  <si>
    <t>Column2</t>
  </si>
  <si>
    <t>Column3</t>
  </si>
  <si>
    <t>Column4</t>
  </si>
  <si>
    <t>Column5</t>
  </si>
  <si>
    <t>Lyz2 mdx</t>
  </si>
  <si>
    <t>cKO</t>
  </si>
  <si>
    <t>DAY 0</t>
  </si>
  <si>
    <t>DAY 3</t>
  </si>
  <si>
    <t>DAY 7</t>
  </si>
  <si>
    <t>Sample</t>
  </si>
  <si>
    <t xml:space="preserve">Total Area </t>
  </si>
  <si>
    <t>Perillipin+ area</t>
  </si>
  <si>
    <t>% Perillipin +Area</t>
  </si>
  <si>
    <t>Dapi Count</t>
  </si>
  <si>
    <t>% Perillipin normalized to Cell count</t>
  </si>
  <si>
    <t>C1-PROCR_1_Decon</t>
  </si>
  <si>
    <t>C1-PROCR_2_Decon</t>
  </si>
  <si>
    <t>C1-PROCR_3_Decon</t>
  </si>
  <si>
    <t>C1-PROCR_4_Decon</t>
  </si>
  <si>
    <t>C1-PROCR_5_Decon</t>
  </si>
  <si>
    <t>C1-PROCR_6_Decon</t>
  </si>
  <si>
    <t>C1-PROCR_7_Decon</t>
  </si>
  <si>
    <t>C1-PROCR_8_Decon</t>
  </si>
  <si>
    <t>C1-PROCR_9_Decon</t>
  </si>
  <si>
    <t>C1-PROCR_10_Decon</t>
  </si>
  <si>
    <t>C2-DN_1_Decon</t>
  </si>
  <si>
    <t>C2-DN_2_Decon</t>
  </si>
  <si>
    <t>C2-DN_3_Decon</t>
  </si>
  <si>
    <t>C2-DN_4_Decon</t>
  </si>
  <si>
    <t>C2-DN_5_Decon</t>
  </si>
  <si>
    <t>C2-DN_6_Decon</t>
  </si>
  <si>
    <t>C2-DN_7_Decon</t>
  </si>
  <si>
    <t>C2-DN_8_Decon</t>
  </si>
  <si>
    <t>C2-DN_9_Decon</t>
  </si>
  <si>
    <t>C2-DN_10_Decon</t>
  </si>
  <si>
    <t>C3-DPP4_1_Decon</t>
  </si>
  <si>
    <t>C3-DPP4_2_Decon</t>
  </si>
  <si>
    <t>C3-DPP4_3_Decon</t>
  </si>
  <si>
    <t>C3-DPP4_4_Decon</t>
  </si>
  <si>
    <t>C3-DPP4_5_Decon</t>
  </si>
  <si>
    <t>C3-DPP4_6_Decon</t>
  </si>
  <si>
    <t>C3-DPP4_7_Decon</t>
  </si>
  <si>
    <t>C3-DPP4_8_Decon</t>
  </si>
  <si>
    <t>C3-DPP4_9_Decon</t>
  </si>
  <si>
    <t>C3-DPP4_10_Decon</t>
  </si>
  <si>
    <t>QUADRICEPS (3 MONTHS)</t>
  </si>
  <si>
    <t>Table Analyzed</t>
  </si>
  <si>
    <t>Total collagen</t>
  </si>
  <si>
    <t>25 , 20</t>
  </si>
  <si>
    <t>0.3899, n=6</t>
  </si>
  <si>
    <t>0.7800, n=3</t>
  </si>
  <si>
    <t>DIAPHRAGM (7 MONTHS)</t>
  </si>
  <si>
    <t>Lyz2 cKO</t>
  </si>
  <si>
    <t>14 , 14</t>
  </si>
  <si>
    <t>3.428, n=4</t>
  </si>
  <si>
    <t>3.477, n=3</t>
  </si>
  <si>
    <t>Tukey's multiple comparisons test</t>
  </si>
  <si>
    <t>Predicted (LS) mean diff.</t>
  </si>
  <si>
    <t>95.00% CI of diff.</t>
  </si>
  <si>
    <t>Below threshold?</t>
  </si>
  <si>
    <t>Summary</t>
  </si>
  <si>
    <t>Adjusted P Value</t>
  </si>
  <si>
    <t>Day 0</t>
  </si>
  <si>
    <t>DN vs. DPP4+</t>
  </si>
  <si>
    <t>-2.241 to 1.940</t>
  </si>
  <si>
    <t>DN vs. PROCR+</t>
  </si>
  <si>
    <t>-2.319 to 1.861</t>
  </si>
  <si>
    <t>DPP4+ vs. PROCR+</t>
  </si>
  <si>
    <t>-2.169 to 2.012</t>
  </si>
  <si>
    <t>Day 3</t>
  </si>
  <si>
    <t>-2.483 to 1.698</t>
  </si>
  <si>
    <t>-2.471 to 1.709</t>
  </si>
  <si>
    <t>-2.078 to 2.102</t>
  </si>
  <si>
    <t>Day 7</t>
  </si>
  <si>
    <t>-10.60 to -6.415</t>
  </si>
  <si>
    <t>****</t>
  </si>
  <si>
    <t>&lt;0.0001</t>
  </si>
  <si>
    <t>-13.16 to -8.870</t>
  </si>
  <si>
    <t>-4.660 to -0.3645</t>
  </si>
  <si>
    <t>AVG cKO</t>
  </si>
  <si>
    <t>Peak inspiratory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</si>
</sst>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6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vertAlign val="superscript"/>
      <sz val="11"/>
      <color rgb="FF00000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i/>
      <vertAlign val="superscript"/>
      <sz val="11"/>
      <color indexed="8"/>
      <name val="Arial"/>
      <family val="2"/>
    </font>
    <font>
      <b/>
      <sz val="10"/>
      <name val="Verdana"/>
      <family val="2"/>
    </font>
    <font>
      <b/>
      <sz val="16"/>
      <color rgb="FF000000"/>
      <name val="Calibri"/>
      <family val="2"/>
    </font>
    <font>
      <b/>
      <vertAlign val="subscript"/>
      <sz val="10"/>
      <name val="Verdana"/>
      <family val="2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name val="Aptos Narrow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sz val="12"/>
      <name val="Calibri"/>
      <family val="2"/>
    </font>
    <font>
      <sz val="13"/>
      <name val="Arial"/>
      <family val="2"/>
    </font>
    <font>
      <sz val="12"/>
      <color rgb="FF000000"/>
      <name val="Arial"/>
      <family val="2"/>
    </font>
    <font>
      <sz val="10"/>
      <color theme="1"/>
      <name val="Liberation Sans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EAB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FFFF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ont="0" applyFill="0" applyBorder="0" applyAlignment="0" applyProtection="0"/>
  </cellStyleXfs>
  <cellXfs count="193">
    <xf numFmtId="0" fontId="0" fillId="0" borderId="0" xfId="0"/>
    <xf numFmtId="0" fontId="0" fillId="3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4" fillId="0" borderId="0" xfId="0" applyFont="1"/>
    <xf numFmtId="0" fontId="4" fillId="5" borderId="0" xfId="0" applyFont="1" applyFill="1"/>
    <xf numFmtId="11" fontId="3" fillId="0" borderId="0" xfId="0" applyNumberFormat="1" applyFont="1"/>
    <xf numFmtId="0" fontId="4" fillId="2" borderId="0" xfId="0" applyFont="1" applyFill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6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8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0" applyFont="1" applyFill="1"/>
    <xf numFmtId="0" fontId="5" fillId="0" borderId="0" xfId="0" applyFont="1"/>
    <xf numFmtId="0" fontId="8" fillId="0" borderId="0" xfId="0" applyFont="1"/>
    <xf numFmtId="0" fontId="8" fillId="8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left" vertical="top"/>
    </xf>
    <xf numFmtId="0" fontId="6" fillId="5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9" borderId="0" xfId="0" applyFont="1" applyFill="1"/>
    <xf numFmtId="0" fontId="6" fillId="3" borderId="0" xfId="0" applyFont="1" applyFill="1" applyAlignment="1">
      <alignment horizontal="left" vertic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2" fontId="3" fillId="0" borderId="13" xfId="0" applyNumberFormat="1" applyFont="1" applyBorder="1" applyAlignment="1">
      <alignment horizontal="center"/>
    </xf>
    <xf numFmtId="0" fontId="6" fillId="6" borderId="0" xfId="0" applyFont="1" applyFill="1" applyAlignment="1">
      <alignment horizontal="left" vertical="center"/>
    </xf>
    <xf numFmtId="1" fontId="8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0" fillId="5" borderId="0" xfId="0" applyFill="1"/>
    <xf numFmtId="0" fontId="4" fillId="0" borderId="8" xfId="0" applyFont="1" applyBorder="1" applyAlignment="1">
      <alignment horizontal="center"/>
    </xf>
    <xf numFmtId="0" fontId="3" fillId="9" borderId="0" xfId="0" applyFont="1" applyFill="1"/>
    <xf numFmtId="0" fontId="13" fillId="0" borderId="17" xfId="0" applyFont="1" applyBorder="1" applyAlignment="1">
      <alignment horizontal="center"/>
    </xf>
    <xf numFmtId="2" fontId="2" fillId="0" borderId="16" xfId="0" applyNumberFormat="1" applyFont="1" applyBorder="1"/>
    <xf numFmtId="2" fontId="2" fillId="0" borderId="9" xfId="0" applyNumberFormat="1" applyFont="1" applyBorder="1"/>
    <xf numFmtId="0" fontId="0" fillId="0" borderId="1" xfId="0" applyBorder="1"/>
    <xf numFmtId="2" fontId="2" fillId="0" borderId="0" xfId="0" applyNumberFormat="1" applyFont="1"/>
    <xf numFmtId="0" fontId="16" fillId="0" borderId="8" xfId="0" applyFont="1" applyBorder="1" applyAlignment="1">
      <alignment horizontal="center"/>
    </xf>
    <xf numFmtId="0" fontId="17" fillId="0" borderId="20" xfId="0" applyFont="1" applyBorder="1" applyAlignment="1">
      <alignment horizontal="left"/>
    </xf>
    <xf numFmtId="0" fontId="17" fillId="0" borderId="21" xfId="0" applyFont="1" applyBorder="1"/>
    <xf numFmtId="0" fontId="17" fillId="0" borderId="9" xfId="0" applyFont="1" applyBorder="1" applyAlignment="1">
      <alignment horizontal="left"/>
    </xf>
    <xf numFmtId="0" fontId="17" fillId="0" borderId="14" xfId="0" applyFont="1" applyBorder="1"/>
    <xf numFmtId="0" fontId="18" fillId="0" borderId="18" xfId="0" applyFont="1" applyBorder="1"/>
    <xf numFmtId="0" fontId="16" fillId="0" borderId="19" xfId="0" applyFont="1" applyBorder="1"/>
    <xf numFmtId="0" fontId="3" fillId="2" borderId="0" xfId="0" applyFont="1" applyFill="1"/>
    <xf numFmtId="0" fontId="0" fillId="9" borderId="1" xfId="0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" fillId="0" borderId="1" xfId="0" applyFont="1" applyBorder="1"/>
    <xf numFmtId="0" fontId="16" fillId="5" borderId="1" xfId="0" applyFont="1" applyFill="1" applyBorder="1"/>
    <xf numFmtId="0" fontId="1" fillId="9" borderId="1" xfId="0" applyFont="1" applyFill="1" applyBorder="1"/>
    <xf numFmtId="0" fontId="1" fillId="9" borderId="3" xfId="0" applyFont="1" applyFill="1" applyBorder="1"/>
    <xf numFmtId="0" fontId="20" fillId="9" borderId="1" xfId="0" applyFont="1" applyFill="1" applyBorder="1"/>
    <xf numFmtId="0" fontId="21" fillId="11" borderId="1" xfId="0" applyFont="1" applyFill="1" applyBorder="1" applyAlignment="1">
      <alignment horizontal="center"/>
    </xf>
    <xf numFmtId="0" fontId="22" fillId="0" borderId="1" xfId="0" applyFont="1" applyBorder="1"/>
    <xf numFmtId="11" fontId="0" fillId="0" borderId="1" xfId="0" applyNumberFormat="1" applyBorder="1"/>
    <xf numFmtId="0" fontId="16" fillId="5" borderId="1" xfId="0" applyFont="1" applyFill="1" applyBorder="1" applyAlignment="1">
      <alignment horizontal="center"/>
    </xf>
    <xf numFmtId="0" fontId="23" fillId="12" borderId="1" xfId="0" applyFont="1" applyFill="1" applyBorder="1"/>
    <xf numFmtId="0" fontId="20" fillId="12" borderId="8" xfId="0" applyFont="1" applyFill="1" applyBorder="1"/>
    <xf numFmtId="0" fontId="22" fillId="9" borderId="1" xfId="0" applyFont="1" applyFill="1" applyBorder="1"/>
    <xf numFmtId="0" fontId="23" fillId="9" borderId="1" xfId="0" applyFont="1" applyFill="1" applyBorder="1"/>
    <xf numFmtId="0" fontId="2" fillId="0" borderId="12" xfId="0" applyFont="1" applyBorder="1"/>
    <xf numFmtId="0" fontId="22" fillId="0" borderId="12" xfId="0" applyFont="1" applyBorder="1"/>
    <xf numFmtId="0" fontId="2" fillId="9" borderId="1" xfId="0" applyFont="1" applyFill="1" applyBorder="1"/>
    <xf numFmtId="0" fontId="24" fillId="9" borderId="1" xfId="0" applyFont="1" applyFill="1" applyBorder="1"/>
    <xf numFmtId="0" fontId="21" fillId="5" borderId="1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18" fillId="0" borderId="0" xfId="0" applyFont="1"/>
    <xf numFmtId="0" fontId="26" fillId="0" borderId="22" xfId="0" applyFont="1" applyBorder="1" applyAlignment="1">
      <alignment horizontal="left"/>
    </xf>
    <xf numFmtId="165" fontId="28" fillId="0" borderId="0" xfId="1" applyNumberFormat="1" applyFont="1" applyFill="1" applyBorder="1" applyAlignment="1">
      <alignment horizontal="left"/>
    </xf>
    <xf numFmtId="165" fontId="26" fillId="0" borderId="0" xfId="0" applyNumberFormat="1" applyFont="1"/>
    <xf numFmtId="0" fontId="26" fillId="0" borderId="23" xfId="1" applyFont="1" applyFill="1" applyBorder="1" applyAlignment="1">
      <alignment horizontal="left"/>
    </xf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center"/>
    </xf>
    <xf numFmtId="2" fontId="26" fillId="0" borderId="0" xfId="0" applyNumberFormat="1" applyFont="1"/>
    <xf numFmtId="0" fontId="26" fillId="0" borderId="0" xfId="0" applyFont="1"/>
    <xf numFmtId="0" fontId="29" fillId="0" borderId="0" xfId="0" applyFont="1" applyAlignment="1">
      <alignment horizontal="right"/>
    </xf>
    <xf numFmtId="165" fontId="28" fillId="0" borderId="0" xfId="1" applyNumberFormat="1" applyFont="1" applyFill="1" applyBorder="1" applyAlignment="1">
      <alignment horizontal="right"/>
    </xf>
    <xf numFmtId="165" fontId="26" fillId="0" borderId="0" xfId="0" applyNumberFormat="1" applyFont="1" applyAlignment="1">
      <alignment horizontal="right"/>
    </xf>
    <xf numFmtId="165" fontId="28" fillId="0" borderId="0" xfId="1" applyNumberFormat="1" applyFont="1" applyBorder="1" applyAlignment="1">
      <alignment horizontal="right"/>
    </xf>
    <xf numFmtId="0" fontId="26" fillId="0" borderId="0" xfId="0" applyFont="1" applyAlignment="1">
      <alignment horizontal="left" vertical="center" readingOrder="1"/>
    </xf>
    <xf numFmtId="0" fontId="31" fillId="0" borderId="24" xfId="0" applyFont="1" applyBorder="1"/>
    <xf numFmtId="0" fontId="31" fillId="0" borderId="24" xfId="0" applyFont="1" applyBorder="1" applyAlignment="1">
      <alignment horizontal="left"/>
    </xf>
    <xf numFmtId="0" fontId="30" fillId="13" borderId="0" xfId="0" applyFont="1" applyFill="1"/>
    <xf numFmtId="0" fontId="30" fillId="13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0" fontId="30" fillId="9" borderId="0" xfId="0" applyFont="1" applyFill="1" applyAlignment="1">
      <alignment horizontal="left"/>
    </xf>
    <xf numFmtId="0" fontId="33" fillId="14" borderId="25" xfId="0" applyFont="1" applyFill="1" applyBorder="1"/>
    <xf numFmtId="0" fontId="34" fillId="0" borderId="0" xfId="0" applyFont="1"/>
    <xf numFmtId="0" fontId="34" fillId="14" borderId="26" xfId="0" applyFont="1" applyFill="1" applyBorder="1"/>
    <xf numFmtId="0" fontId="34" fillId="14" borderId="27" xfId="0" applyFont="1" applyFill="1" applyBorder="1"/>
    <xf numFmtId="0" fontId="33" fillId="14" borderId="26" xfId="0" applyFont="1" applyFill="1" applyBorder="1"/>
    <xf numFmtId="0" fontId="34" fillId="0" borderId="28" xfId="0" applyFont="1" applyBorder="1"/>
    <xf numFmtId="0" fontId="34" fillId="0" borderId="29" xfId="0" applyFont="1" applyBorder="1"/>
    <xf numFmtId="0" fontId="34" fillId="0" borderId="30" xfId="0" applyFont="1" applyBorder="1"/>
    <xf numFmtId="0" fontId="34" fillId="15" borderId="0" xfId="0" applyFont="1" applyFill="1"/>
    <xf numFmtId="0" fontId="34" fillId="15" borderId="28" xfId="0" applyFont="1" applyFill="1" applyBorder="1"/>
    <xf numFmtId="0" fontId="34" fillId="0" borderId="0" xfId="0" applyFont="1" applyAlignment="1">
      <alignment horizontal="right"/>
    </xf>
    <xf numFmtId="0" fontId="34" fillId="15" borderId="31" xfId="0" applyFont="1" applyFill="1" applyBorder="1"/>
    <xf numFmtId="0" fontId="34" fillId="15" borderId="13" xfId="0" applyFont="1" applyFill="1" applyBorder="1"/>
    <xf numFmtId="0" fontId="34" fillId="0" borderId="13" xfId="0" applyFont="1" applyBorder="1"/>
    <xf numFmtId="0" fontId="34" fillId="0" borderId="32" xfId="0" applyFont="1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31" fillId="9" borderId="26" xfId="0" applyFont="1" applyFill="1" applyBorder="1"/>
    <xf numFmtId="0" fontId="30" fillId="0" borderId="28" xfId="0" applyFont="1" applyBorder="1"/>
    <xf numFmtId="0" fontId="18" fillId="0" borderId="0" xfId="0" applyFont="1" applyAlignment="1">
      <alignment horizontal="center"/>
    </xf>
    <xf numFmtId="0" fontId="18" fillId="0" borderId="30" xfId="0" applyFont="1" applyBorder="1" applyAlignment="1">
      <alignment horizontal="center"/>
    </xf>
    <xf numFmtId="0" fontId="17" fillId="0" borderId="30" xfId="0" applyFont="1" applyBorder="1"/>
    <xf numFmtId="0" fontId="31" fillId="0" borderId="28" xfId="0" applyFont="1" applyBorder="1"/>
    <xf numFmtId="0" fontId="31" fillId="0" borderId="30" xfId="0" applyFont="1" applyBorder="1"/>
    <xf numFmtId="0" fontId="17" fillId="0" borderId="3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32" xfId="0" applyFont="1" applyBorder="1"/>
    <xf numFmtId="0" fontId="30" fillId="0" borderId="25" xfId="0" applyFont="1" applyBorder="1"/>
    <xf numFmtId="0" fontId="31" fillId="9" borderId="27" xfId="0" applyFont="1" applyFill="1" applyBorder="1"/>
    <xf numFmtId="0" fontId="30" fillId="0" borderId="30" xfId="0" applyFont="1" applyBorder="1"/>
    <xf numFmtId="0" fontId="30" fillId="0" borderId="31" xfId="0" applyFont="1" applyBorder="1"/>
    <xf numFmtId="0" fontId="35" fillId="0" borderId="0" xfId="0" applyFont="1"/>
    <xf numFmtId="0" fontId="35" fillId="0" borderId="0" xfId="0" applyFont="1" applyAlignment="1">
      <alignment horizontal="left"/>
    </xf>
    <xf numFmtId="0" fontId="29" fillId="9" borderId="22" xfId="0" applyFont="1" applyFill="1" applyBorder="1" applyAlignment="1">
      <alignment horizontal="right"/>
    </xf>
    <xf numFmtId="165" fontId="26" fillId="9" borderId="0" xfId="0" applyNumberFormat="1" applyFont="1" applyFill="1" applyAlignment="1">
      <alignment horizontal="right"/>
    </xf>
    <xf numFmtId="0" fontId="29" fillId="9" borderId="0" xfId="1" applyFont="1" applyFill="1" applyBorder="1" applyAlignment="1">
      <alignment horizontal="right"/>
    </xf>
    <xf numFmtId="0" fontId="28" fillId="9" borderId="0" xfId="0" applyFont="1" applyFill="1" applyAlignment="1">
      <alignment horizontal="right"/>
    </xf>
    <xf numFmtId="165" fontId="29" fillId="9" borderId="0" xfId="0" applyNumberFormat="1" applyFont="1" applyFill="1" applyAlignment="1">
      <alignment horizontal="right"/>
    </xf>
    <xf numFmtId="165" fontId="26" fillId="9" borderId="0" xfId="0" applyNumberFormat="1" applyFont="1" applyFill="1"/>
    <xf numFmtId="0" fontId="28" fillId="9" borderId="0" xfId="0" applyFont="1" applyFill="1"/>
    <xf numFmtId="165" fontId="29" fillId="9" borderId="0" xfId="0" applyNumberFormat="1" applyFont="1" applyFill="1"/>
    <xf numFmtId="0" fontId="5" fillId="0" borderId="0" xfId="0" applyFont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2">
    <cellStyle name="Default" xfId="1" xr:uid="{17647660-791A-F248-B976-B1DE0E129AB3}"/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EAB0"/>
      <color rgb="FFFFED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</xdr:row>
      <xdr:rowOff>38100</xdr:rowOff>
    </xdr:from>
    <xdr:to>
      <xdr:col>13</xdr:col>
      <xdr:colOff>672185</xdr:colOff>
      <xdr:row>23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A69563-F9FA-BAA3-DA04-0A1823F76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5500" y="241300"/>
          <a:ext cx="6031585" cy="4432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22</xdr:row>
      <xdr:rowOff>127000</xdr:rowOff>
    </xdr:from>
    <xdr:to>
      <xdr:col>1</xdr:col>
      <xdr:colOff>520700</xdr:colOff>
      <xdr:row>24</xdr:row>
      <xdr:rowOff>129190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1300" y="4089400"/>
          <a:ext cx="1676400" cy="35779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SUPP 5A</a:t>
          </a:r>
        </a:p>
      </xdr:txBody>
    </xdr:sp>
    <xdr:clientData/>
  </xdr:twoCellAnchor>
  <xdr:twoCellAnchor>
    <xdr:from>
      <xdr:col>0</xdr:col>
      <xdr:colOff>1219200</xdr:colOff>
      <xdr:row>25</xdr:row>
      <xdr:rowOff>63500</xdr:rowOff>
    </xdr:from>
    <xdr:to>
      <xdr:col>3</xdr:col>
      <xdr:colOff>576927</xdr:colOff>
      <xdr:row>43</xdr:row>
      <xdr:rowOff>134094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3D79209-C546-60A2-301A-164305232FC5}"/>
            </a:ext>
          </a:extLst>
        </xdr:cNvPr>
        <xdr:cNvGrpSpPr/>
      </xdr:nvGrpSpPr>
      <xdr:grpSpPr>
        <a:xfrm>
          <a:off x="1219200" y="4421909"/>
          <a:ext cx="2402841" cy="3187867"/>
          <a:chOff x="579628" y="371505"/>
          <a:chExt cx="2405727" cy="3270994"/>
        </a:xfrm>
      </xdr:grpSpPr>
      <xdr:sp macro="" textlink="">
        <xdr:nvSpPr>
          <xdr:cNvPr id="7" name="TextBox 1">
            <a:extLst>
              <a:ext uri="{FF2B5EF4-FFF2-40B4-BE49-F238E27FC236}">
                <a16:creationId xmlns:a16="http://schemas.microsoft.com/office/drawing/2014/main" id="{C8C16F11-CBB9-4193-18ED-6CD0BE10F48B}"/>
              </a:ext>
            </a:extLst>
          </xdr:cNvPr>
          <xdr:cNvSpPr txBox="1"/>
        </xdr:nvSpPr>
        <xdr:spPr>
          <a:xfrm>
            <a:off x="579628" y="686041"/>
            <a:ext cx="33855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12" name="TextBox 30">
            <a:extLst>
              <a:ext uri="{FF2B5EF4-FFF2-40B4-BE49-F238E27FC236}">
                <a16:creationId xmlns:a16="http://schemas.microsoft.com/office/drawing/2014/main" id="{E4B6435C-EEF8-0BC4-F7AE-AAFE99CEF6E7}"/>
              </a:ext>
            </a:extLst>
          </xdr:cNvPr>
          <xdr:cNvSpPr txBox="1"/>
        </xdr:nvSpPr>
        <xdr:spPr>
          <a:xfrm>
            <a:off x="1875756" y="371505"/>
            <a:ext cx="1109599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OPEN FIELD</a:t>
            </a:r>
          </a:p>
        </xdr:txBody>
      </xdr:sp>
      <xdr:sp macro="" textlink="">
        <xdr:nvSpPr>
          <xdr:cNvPr id="14" name="TextBox 32">
            <a:extLst>
              <a:ext uri="{FF2B5EF4-FFF2-40B4-BE49-F238E27FC236}">
                <a16:creationId xmlns:a16="http://schemas.microsoft.com/office/drawing/2014/main" id="{61E5B819-5F76-46A8-5FC3-3E858D96CB14}"/>
              </a:ext>
            </a:extLst>
          </xdr:cNvPr>
          <xdr:cNvSpPr txBox="1"/>
        </xdr:nvSpPr>
        <xdr:spPr>
          <a:xfrm>
            <a:off x="1824869" y="3365500"/>
            <a:ext cx="1074333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WIRE MESH</a:t>
            </a:r>
          </a:p>
        </xdr:txBody>
      </xdr:sp>
    </xdr:grpSp>
    <xdr:clientData/>
  </xdr:twoCellAnchor>
  <xdr:twoCellAnchor editAs="oneCell">
    <xdr:from>
      <xdr:col>0</xdr:col>
      <xdr:colOff>1318404</xdr:colOff>
      <xdr:row>26</xdr:row>
      <xdr:rowOff>97970</xdr:rowOff>
    </xdr:from>
    <xdr:to>
      <xdr:col>4</xdr:col>
      <xdr:colOff>348669</xdr:colOff>
      <xdr:row>39</xdr:row>
      <xdr:rowOff>148970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685800-9EDE-3C17-69BB-0696EB865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599"/>
        <a:stretch/>
      </xdr:blipFill>
      <xdr:spPr>
        <a:xfrm>
          <a:off x="1318404" y="4771570"/>
          <a:ext cx="2903765" cy="2362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527538</xdr:colOff>
      <xdr:row>35</xdr:row>
      <xdr:rowOff>78154</xdr:rowOff>
    </xdr:from>
    <xdr:to>
      <xdr:col>2</xdr:col>
      <xdr:colOff>351692</xdr:colOff>
      <xdr:row>37</xdr:row>
      <xdr:rowOff>84251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27538" y="6271846"/>
          <a:ext cx="1484923" cy="35779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SUPP 5B</a:t>
          </a:r>
        </a:p>
      </xdr:txBody>
    </xdr:sp>
    <xdr:clientData/>
  </xdr:twoCellAnchor>
  <xdr:twoCellAnchor editAs="oneCell">
    <xdr:from>
      <xdr:col>1</xdr:col>
      <xdr:colOff>373692</xdr:colOff>
      <xdr:row>37</xdr:row>
      <xdr:rowOff>90611</xdr:rowOff>
    </xdr:from>
    <xdr:to>
      <xdr:col>2</xdr:col>
      <xdr:colOff>1909545</xdr:colOff>
      <xdr:row>49</xdr:row>
      <xdr:rowOff>55697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669" r="36588"/>
        <a:stretch/>
      </xdr:blipFill>
      <xdr:spPr>
        <a:xfrm>
          <a:off x="1204077" y="6635996"/>
          <a:ext cx="2366237" cy="2075239"/>
        </a:xfrm>
        <a:prstGeom prst="rect">
          <a:avLst/>
        </a:prstGeom>
      </xdr:spPr>
    </xdr:pic>
    <xdr:clientData/>
  </xdr:twoCellAnchor>
  <xdr:twoCellAnchor>
    <xdr:from>
      <xdr:col>2</xdr:col>
      <xdr:colOff>418152</xdr:colOff>
      <xdr:row>36</xdr:row>
      <xdr:rowOff>12459</xdr:rowOff>
    </xdr:from>
    <xdr:to>
      <xdr:col>2</xdr:col>
      <xdr:colOff>1696066</xdr:colOff>
      <xdr:row>37</xdr:row>
      <xdr:rowOff>113611</xdr:rowOff>
    </xdr:to>
    <xdr:sp macro="" textlink="">
      <xdr:nvSpPr>
        <xdr:cNvPr id="4" name="TextBox 3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078921" y="6381997"/>
          <a:ext cx="1277914" cy="276999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REAR EVENTS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188709</xdr:rowOff>
    </xdr:from>
    <xdr:to>
      <xdr:col>1</xdr:col>
      <xdr:colOff>351378</xdr:colOff>
      <xdr:row>34</xdr:row>
      <xdr:rowOff>151641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333500" y="6957809"/>
          <a:ext cx="351378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228600</xdr:colOff>
      <xdr:row>32</xdr:row>
      <xdr:rowOff>50800</xdr:rowOff>
    </xdr:from>
    <xdr:to>
      <xdr:col>9</xdr:col>
      <xdr:colOff>799238</xdr:colOff>
      <xdr:row>42</xdr:row>
      <xdr:rowOff>202548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1FD42F2-2DAA-0370-743A-F813946F7E68}"/>
            </a:ext>
          </a:extLst>
        </xdr:cNvPr>
        <xdr:cNvGrpSpPr/>
      </xdr:nvGrpSpPr>
      <xdr:grpSpPr>
        <a:xfrm>
          <a:off x="5686692" y="6633472"/>
          <a:ext cx="5514912" cy="2187626"/>
          <a:chOff x="3975100" y="7010400"/>
          <a:chExt cx="5523638" cy="218374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8228"/>
          <a:stretch/>
        </xdr:blipFill>
        <xdr:spPr>
          <a:xfrm>
            <a:off x="6627200" y="7213600"/>
            <a:ext cx="2711872" cy="1980548"/>
          </a:xfrm>
          <a:prstGeom prst="rect">
            <a:avLst/>
          </a:prstGeom>
        </xdr:spPr>
      </xdr:pic>
      <xdr:sp macro="" textlink="">
        <xdr:nvSpPr>
          <xdr:cNvPr id="4" name="TextBox 3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5144141" y="7048500"/>
            <a:ext cx="1074333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WIRE MESH</a:t>
            </a:r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3975100" y="7010400"/>
            <a:ext cx="5523638" cy="2171940"/>
            <a:chOff x="5461000" y="7213600"/>
            <a:chExt cx="4720291" cy="217194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t="12014"/>
            <a:stretch/>
          </xdr:blipFill>
          <xdr:spPr>
            <a:xfrm>
              <a:off x="5461000" y="7619999"/>
              <a:ext cx="2490334" cy="1765541"/>
            </a:xfrm>
            <a:prstGeom prst="rect">
              <a:avLst/>
            </a:prstGeom>
          </xdr:spPr>
        </xdr:pic>
        <xdr:sp macro="" textlink="">
          <xdr:nvSpPr>
            <xdr:cNvPr id="6" name="TextBox 33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SpPr txBox="1"/>
          </xdr:nvSpPr>
          <xdr:spPr>
            <a:xfrm>
              <a:off x="8418949" y="7213600"/>
              <a:ext cx="1762342" cy="276999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WIRE MESH-T5 ONLY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</xdr:row>
      <xdr:rowOff>38100</xdr:rowOff>
    </xdr:from>
    <xdr:to>
      <xdr:col>11</xdr:col>
      <xdr:colOff>25400</xdr:colOff>
      <xdr:row>12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AED77B-ED84-CED3-1057-FB97F2B78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241300"/>
          <a:ext cx="3733800" cy="229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393700</xdr:colOff>
      <xdr:row>0</xdr:row>
      <xdr:rowOff>0</xdr:rowOff>
    </xdr:from>
    <xdr:to>
      <xdr:col>11</xdr:col>
      <xdr:colOff>149970</xdr:colOff>
      <xdr:row>10</xdr:row>
      <xdr:rowOff>51974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6A4794-36C5-7B24-B316-C8E53F99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883770" cy="2083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685800</xdr:colOff>
      <xdr:row>0</xdr:row>
      <xdr:rowOff>0</xdr:rowOff>
    </xdr:from>
    <xdr:to>
      <xdr:col>13</xdr:col>
      <xdr:colOff>287126</xdr:colOff>
      <xdr:row>11</xdr:row>
      <xdr:rowOff>158986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EB6C-BD95-EE4E-B25C-105B86D7CC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40" t="75169" r="53191"/>
        <a:stretch/>
      </xdr:blipFill>
      <xdr:spPr>
        <a:xfrm>
          <a:off x="8115300" y="0"/>
          <a:ext cx="3068426" cy="2394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235784</xdr:colOff>
      <xdr:row>0</xdr:row>
      <xdr:rowOff>178057</xdr:rowOff>
    </xdr:from>
    <xdr:to>
      <xdr:col>14</xdr:col>
      <xdr:colOff>157804</xdr:colOff>
      <xdr:row>12</xdr:row>
      <xdr:rowOff>151780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DB0293-8D28-90E9-BE8B-33BAE5DF47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44" t="24630" r="59044" b="50677"/>
        <a:stretch/>
      </xdr:blipFill>
      <xdr:spPr>
        <a:xfrm>
          <a:off x="8445885" y="178057"/>
          <a:ext cx="3206060" cy="24367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825500</xdr:colOff>
      <xdr:row>31</xdr:row>
      <xdr:rowOff>174624</xdr:rowOff>
    </xdr:from>
    <xdr:to>
      <xdr:col>8</xdr:col>
      <xdr:colOff>746125</xdr:colOff>
      <xdr:row>61</xdr:row>
      <xdr:rowOff>145065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224CB6B-4EAA-E062-58A4-691197A209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497" t="34564" r="36887" b="34659"/>
        <a:stretch/>
      </xdr:blipFill>
      <xdr:spPr>
        <a:xfrm>
          <a:off x="4175125" y="5699124"/>
          <a:ext cx="3873500" cy="52091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1384587</xdr:colOff>
      <xdr:row>28</xdr:row>
      <xdr:rowOff>162330</xdr:rowOff>
    </xdr:from>
    <xdr:to>
      <xdr:col>5</xdr:col>
      <xdr:colOff>305565</xdr:colOff>
      <xdr:row>45</xdr:row>
      <xdr:rowOff>76390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0120AB-004F-3503-2B77-CCCC39011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857" t="36360" r="36238" b="33831"/>
        <a:stretch/>
      </xdr:blipFill>
      <xdr:spPr>
        <a:xfrm>
          <a:off x="3790903" y="5242330"/>
          <a:ext cx="2091203" cy="29983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48846</xdr:colOff>
      <xdr:row>5</xdr:row>
      <xdr:rowOff>68386</xdr:rowOff>
    </xdr:from>
    <xdr:to>
      <xdr:col>11</xdr:col>
      <xdr:colOff>165461</xdr:colOff>
      <xdr:row>16</xdr:row>
      <xdr:rowOff>39079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9976AA-64A3-AA0D-7A36-719834FC43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362" t="35839" r="24585" b="36480"/>
        <a:stretch/>
      </xdr:blipFill>
      <xdr:spPr>
        <a:xfrm>
          <a:off x="6545384" y="1113694"/>
          <a:ext cx="3438154" cy="2237154"/>
        </a:xfrm>
        <a:prstGeom prst="rect">
          <a:avLst/>
        </a:prstGeom>
      </xdr:spPr>
    </xdr:pic>
    <xdr:clientData/>
  </xdr:twoCellAnchor>
  <xdr:twoCellAnchor editAs="oneCell">
    <xdr:from>
      <xdr:col>11</xdr:col>
      <xdr:colOff>380999</xdr:colOff>
      <xdr:row>6</xdr:row>
      <xdr:rowOff>68385</xdr:rowOff>
    </xdr:from>
    <xdr:to>
      <xdr:col>15</xdr:col>
      <xdr:colOff>166076</xdr:colOff>
      <xdr:row>15</xdr:row>
      <xdr:rowOff>152867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4CAF68-A660-6C3D-6833-9DCE01C99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635" t="36455" r="26471" b="36455"/>
        <a:stretch/>
      </xdr:blipFill>
      <xdr:spPr>
        <a:xfrm>
          <a:off x="10199076" y="1318847"/>
          <a:ext cx="3106615" cy="19406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635000</xdr:colOff>
      <xdr:row>0</xdr:row>
      <xdr:rowOff>76199</xdr:rowOff>
    </xdr:from>
    <xdr:to>
      <xdr:col>10</xdr:col>
      <xdr:colOff>228751</xdr:colOff>
      <xdr:row>14</xdr:row>
      <xdr:rowOff>36638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FA339-6C73-3715-B31E-9BC64A300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6800" y="76199"/>
          <a:ext cx="4267351" cy="2805239"/>
        </a:xfrm>
        <a:prstGeom prst="rect">
          <a:avLst/>
        </a:prstGeom>
      </xdr:spPr>
    </xdr:pic>
    <xdr:clientData/>
  </xdr:twoCellAnchor>
  <xdr:twoCellAnchor editAs="oneCell">
    <xdr:from>
      <xdr:col>8</xdr:col>
      <xdr:colOff>1052480</xdr:colOff>
      <xdr:row>17</xdr:row>
      <xdr:rowOff>114299</xdr:rowOff>
    </xdr:from>
    <xdr:to>
      <xdr:col>10</xdr:col>
      <xdr:colOff>241300</xdr:colOff>
      <xdr:row>31</xdr:row>
      <xdr:rowOff>65936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429343-B368-DDB1-5FA5-790D0AB7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4280" y="3568699"/>
          <a:ext cx="3862420" cy="28091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52E8E7-5FD7-ED4E-9EC0-4D5340D93A8B}" name="Table1" displayName="Table1" ref="B4:F22" totalsRowShown="0" headerRowDxfId="7" dataDxfId="6" tableBorderDxfId="5">
  <autoFilter ref="B4:F22" xr:uid="{0052E8E7-5FD7-ED4E-9EC0-4D5340D93A8B}"/>
  <tableColumns count="5">
    <tableColumn id="1" xr3:uid="{AE804A26-772C-5E4E-B23B-097180A428E0}" name="Column1" dataDxfId="4"/>
    <tableColumn id="2" xr3:uid="{6C89284F-AA89-4743-AC79-0FE285635A94}" name="Column2" dataDxfId="3"/>
    <tableColumn id="3" xr3:uid="{4A804C5B-7C73-BC45-A5D6-2F2E7FC4E218}" name="Column3" dataDxfId="2"/>
    <tableColumn id="4" xr3:uid="{DA748659-C211-9D4B-9BD4-47409B6F7132}" name="Column4" dataDxfId="1"/>
    <tableColumn id="5" xr3:uid="{10413A24-2CE8-EB40-9415-CC3735582CFE}" name="Column5" dataDxfId="0">
      <calculatedColumnFormula>(D5/E5)*100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A827-013D-B34A-8541-32B18990E683}">
  <dimension ref="B3:F26"/>
  <sheetViews>
    <sheetView workbookViewId="0">
      <selection activeCell="E30" sqref="E30"/>
    </sheetView>
  </sheetViews>
  <sheetFormatPr baseColWidth="10" defaultRowHeight="16"/>
  <cols>
    <col min="1" max="1" width="9" style="118" customWidth="1"/>
    <col min="2" max="2" width="24.1640625" style="118" customWidth="1"/>
    <col min="3" max="3" width="10.83203125" style="118"/>
    <col min="4" max="4" width="20.33203125" style="118" customWidth="1"/>
    <col min="5" max="5" width="24.5" style="132" customWidth="1"/>
    <col min="6" max="6" width="16.5" style="132" customWidth="1"/>
    <col min="7" max="16384" width="10.83203125" style="118"/>
  </cols>
  <sheetData>
    <row r="3" spans="2:6">
      <c r="B3" s="128" t="s">
        <v>188</v>
      </c>
      <c r="C3" s="129" t="s">
        <v>189</v>
      </c>
      <c r="D3" s="129" t="s">
        <v>190</v>
      </c>
      <c r="E3" s="129" t="s">
        <v>206</v>
      </c>
      <c r="F3" s="129" t="s">
        <v>191</v>
      </c>
    </row>
    <row r="4" spans="2:6">
      <c r="B4" s="130" t="s">
        <v>207</v>
      </c>
      <c r="C4" s="131" t="s">
        <v>208</v>
      </c>
      <c r="D4" s="131" t="s">
        <v>209</v>
      </c>
      <c r="E4" s="131" t="s">
        <v>210</v>
      </c>
      <c r="F4" s="131" t="s">
        <v>211</v>
      </c>
    </row>
    <row r="5" spans="2:6">
      <c r="B5" s="118" t="s">
        <v>192</v>
      </c>
      <c r="C5" s="132" t="s">
        <v>213</v>
      </c>
      <c r="D5" s="132">
        <v>324</v>
      </c>
      <c r="E5" s="132">
        <v>10657</v>
      </c>
      <c r="F5" s="133">
        <f>(D5/E5)*100</f>
        <v>3.0402552313033686</v>
      </c>
    </row>
    <row r="6" spans="2:6">
      <c r="B6" s="118" t="s">
        <v>192</v>
      </c>
      <c r="C6" s="132" t="s">
        <v>19</v>
      </c>
      <c r="D6" s="132">
        <v>677</v>
      </c>
      <c r="E6" s="132">
        <v>7156</v>
      </c>
      <c r="F6" s="132">
        <f t="shared" ref="F6:F22" si="0">(D6/E6)*100</f>
        <v>9.4605925097820016</v>
      </c>
    </row>
    <row r="7" spans="2:6">
      <c r="B7" s="118" t="s">
        <v>193</v>
      </c>
      <c r="C7" s="132" t="s">
        <v>213</v>
      </c>
      <c r="D7" s="132">
        <v>170</v>
      </c>
      <c r="E7" s="132">
        <v>10657</v>
      </c>
      <c r="F7" s="133">
        <f t="shared" si="0"/>
        <v>1.5951956460542367</v>
      </c>
    </row>
    <row r="8" spans="2:6">
      <c r="B8" s="118" t="s">
        <v>193</v>
      </c>
      <c r="C8" s="132" t="s">
        <v>19</v>
      </c>
      <c r="D8" s="132">
        <v>105</v>
      </c>
      <c r="E8" s="132">
        <v>7156</v>
      </c>
      <c r="F8" s="132">
        <f t="shared" si="0"/>
        <v>1.4673001676914477</v>
      </c>
    </row>
    <row r="9" spans="2:6">
      <c r="B9" s="118" t="s">
        <v>194</v>
      </c>
      <c r="C9" s="132" t="s">
        <v>213</v>
      </c>
      <c r="D9" s="132">
        <v>4781</v>
      </c>
      <c r="E9" s="132">
        <v>10657</v>
      </c>
      <c r="F9" s="133">
        <f t="shared" si="0"/>
        <v>44.862531669325328</v>
      </c>
    </row>
    <row r="10" spans="2:6">
      <c r="B10" s="118" t="s">
        <v>195</v>
      </c>
      <c r="C10" s="132" t="s">
        <v>19</v>
      </c>
      <c r="D10" s="132">
        <v>1376</v>
      </c>
      <c r="E10" s="132">
        <v>7156</v>
      </c>
      <c r="F10" s="132">
        <f t="shared" si="0"/>
        <v>19.228619340413637</v>
      </c>
    </row>
    <row r="11" spans="2:6">
      <c r="B11" s="118" t="s">
        <v>196</v>
      </c>
      <c r="C11" s="132" t="s">
        <v>213</v>
      </c>
      <c r="D11" s="132">
        <v>81</v>
      </c>
      <c r="E11" s="132">
        <v>10657</v>
      </c>
      <c r="F11" s="133">
        <f t="shared" si="0"/>
        <v>0.76006380782584215</v>
      </c>
    </row>
    <row r="12" spans="2:6">
      <c r="B12" s="118" t="s">
        <v>197</v>
      </c>
      <c r="C12" s="132" t="s">
        <v>19</v>
      </c>
      <c r="D12" s="132">
        <v>32</v>
      </c>
      <c r="E12" s="132">
        <v>7156</v>
      </c>
      <c r="F12" s="133">
        <f t="shared" si="0"/>
        <v>0.4471771939631079</v>
      </c>
    </row>
    <row r="13" spans="2:6">
      <c r="B13" s="118" t="s">
        <v>198</v>
      </c>
      <c r="C13" s="132" t="s">
        <v>213</v>
      </c>
      <c r="D13" s="132">
        <v>1164</v>
      </c>
      <c r="E13" s="132">
        <v>10657</v>
      </c>
      <c r="F13" s="133">
        <f t="shared" si="0"/>
        <v>10.92239842357136</v>
      </c>
    </row>
    <row r="14" spans="2:6">
      <c r="B14" s="118" t="s">
        <v>199</v>
      </c>
      <c r="C14" s="132" t="s">
        <v>19</v>
      </c>
      <c r="D14" s="132">
        <v>1311</v>
      </c>
      <c r="E14" s="132">
        <v>7156</v>
      </c>
      <c r="F14" s="132">
        <f t="shared" si="0"/>
        <v>18.320290665176074</v>
      </c>
    </row>
    <row r="15" spans="2:6">
      <c r="B15" s="118" t="s">
        <v>200</v>
      </c>
      <c r="C15" s="132" t="s">
        <v>213</v>
      </c>
      <c r="D15" s="132">
        <v>163</v>
      </c>
      <c r="E15" s="132">
        <v>10657</v>
      </c>
      <c r="F15" s="133">
        <f t="shared" si="0"/>
        <v>1.5295111194520035</v>
      </c>
    </row>
    <row r="16" spans="2:6">
      <c r="B16" s="118" t="s">
        <v>201</v>
      </c>
      <c r="C16" s="132" t="s">
        <v>19</v>
      </c>
      <c r="D16" s="132">
        <v>187</v>
      </c>
      <c r="E16" s="132">
        <v>7156</v>
      </c>
      <c r="F16" s="132">
        <f t="shared" si="0"/>
        <v>2.6131917272219116</v>
      </c>
    </row>
    <row r="17" spans="2:6">
      <c r="B17" s="118" t="s">
        <v>202</v>
      </c>
      <c r="C17" s="132" t="s">
        <v>213</v>
      </c>
      <c r="D17" s="132">
        <v>54</v>
      </c>
      <c r="E17" s="132">
        <v>10657</v>
      </c>
      <c r="F17" s="133">
        <f t="shared" si="0"/>
        <v>0.50670920521722806</v>
      </c>
    </row>
    <row r="18" spans="2:6">
      <c r="B18" s="118" t="s">
        <v>203</v>
      </c>
      <c r="C18" s="132" t="s">
        <v>19</v>
      </c>
      <c r="D18" s="132">
        <v>21</v>
      </c>
      <c r="E18" s="132">
        <v>7156</v>
      </c>
      <c r="F18" s="132">
        <f t="shared" si="0"/>
        <v>0.29346003353828953</v>
      </c>
    </row>
    <row r="19" spans="2:6">
      <c r="B19" s="118" t="s">
        <v>204</v>
      </c>
      <c r="C19" s="132" t="s">
        <v>213</v>
      </c>
      <c r="D19" s="132">
        <v>3025</v>
      </c>
      <c r="E19" s="132">
        <v>10657</v>
      </c>
      <c r="F19" s="133">
        <f t="shared" si="0"/>
        <v>28.385098995965091</v>
      </c>
    </row>
    <row r="20" spans="2:6">
      <c r="B20" s="118" t="s">
        <v>204</v>
      </c>
      <c r="C20" s="132" t="s">
        <v>19</v>
      </c>
      <c r="D20" s="132">
        <v>2131</v>
      </c>
      <c r="E20" s="132">
        <v>7156</v>
      </c>
      <c r="F20" s="132">
        <f t="shared" si="0"/>
        <v>29.779206260480716</v>
      </c>
    </row>
    <row r="21" spans="2:6">
      <c r="B21" s="118" t="s">
        <v>205</v>
      </c>
      <c r="C21" s="132" t="s">
        <v>213</v>
      </c>
      <c r="D21" s="132">
        <v>895</v>
      </c>
      <c r="E21" s="132">
        <v>10657</v>
      </c>
      <c r="F21" s="133">
        <f t="shared" si="0"/>
        <v>8.3982359012855401</v>
      </c>
    </row>
    <row r="22" spans="2:6">
      <c r="B22" s="118" t="s">
        <v>205</v>
      </c>
      <c r="C22" s="132" t="s">
        <v>19</v>
      </c>
      <c r="D22" s="132">
        <v>1316</v>
      </c>
      <c r="E22" s="132">
        <v>7156</v>
      </c>
      <c r="F22" s="132">
        <f t="shared" si="0"/>
        <v>18.390162101732813</v>
      </c>
    </row>
    <row r="25" spans="2:6">
      <c r="B25" s="127"/>
    </row>
    <row r="26" spans="2:6">
      <c r="B26" s="127"/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788B-9CB3-D544-9215-7809E532BD09}">
  <dimension ref="B1:I31"/>
  <sheetViews>
    <sheetView topLeftCell="B1" zoomScaleNormal="100" workbookViewId="0">
      <selection activeCell="I43" sqref="I43"/>
    </sheetView>
  </sheetViews>
  <sheetFormatPr baseColWidth="10" defaultColWidth="30.6640625" defaultRowHeight="16"/>
  <cols>
    <col min="1" max="1" width="30.6640625" style="118"/>
    <col min="2" max="2" width="6.5" style="118" customWidth="1"/>
    <col min="3" max="4" width="30.6640625" style="118"/>
    <col min="5" max="5" width="4.1640625" style="118" customWidth="1"/>
    <col min="6" max="6" width="8.33203125" style="118" customWidth="1"/>
    <col min="7" max="16384" width="30.6640625" style="118"/>
  </cols>
  <sheetData>
    <row r="1" spans="2:9">
      <c r="B1" s="162"/>
      <c r="C1" s="151" t="s">
        <v>253</v>
      </c>
      <c r="D1" s="163"/>
      <c r="F1" s="162"/>
      <c r="G1" s="151" t="s">
        <v>259</v>
      </c>
      <c r="H1" s="163"/>
      <c r="I1" s="119"/>
    </row>
    <row r="2" spans="2:9">
      <c r="B2" s="152"/>
      <c r="D2" s="164"/>
      <c r="F2" s="152"/>
      <c r="H2" s="164"/>
    </row>
    <row r="3" spans="2:9">
      <c r="B3" s="152"/>
      <c r="C3" s="153" t="s">
        <v>72</v>
      </c>
      <c r="D3" s="154" t="s">
        <v>213</v>
      </c>
      <c r="F3" s="152"/>
      <c r="G3" s="153" t="s">
        <v>72</v>
      </c>
      <c r="H3" s="154" t="s">
        <v>213</v>
      </c>
    </row>
    <row r="4" spans="2:9">
      <c r="B4" s="152"/>
      <c r="C4" s="150">
        <v>0.71882026300000001</v>
      </c>
      <c r="D4" s="155">
        <v>0.77996600199999999</v>
      </c>
      <c r="F4" s="152"/>
      <c r="G4" s="149" t="s">
        <v>72</v>
      </c>
      <c r="H4" s="149" t="s">
        <v>260</v>
      </c>
    </row>
    <row r="5" spans="2:9">
      <c r="B5" s="152"/>
      <c r="C5" s="150">
        <v>0.541967686</v>
      </c>
      <c r="D5" s="155">
        <v>0.77995775499999997</v>
      </c>
      <c r="F5" s="152"/>
      <c r="G5" s="150">
        <v>3.5827446190000001</v>
      </c>
      <c r="H5" s="150">
        <v>3.8242022790000001</v>
      </c>
    </row>
    <row r="6" spans="2:9">
      <c r="B6" s="152"/>
      <c r="C6" s="150">
        <v>0.99584900300000001</v>
      </c>
      <c r="D6" s="155">
        <v>0.59482789300000005</v>
      </c>
      <c r="F6" s="152"/>
      <c r="G6" s="150">
        <v>3.310851064</v>
      </c>
      <c r="H6" s="150">
        <v>3.4771659119999998</v>
      </c>
    </row>
    <row r="7" spans="2:9">
      <c r="B7" s="152"/>
      <c r="C7" s="150">
        <v>0.20738472899999999</v>
      </c>
      <c r="D7" s="155"/>
      <c r="F7" s="152"/>
      <c r="G7" s="150">
        <v>3.546063867</v>
      </c>
      <c r="H7" s="150">
        <v>3.3304066379999999</v>
      </c>
    </row>
    <row r="8" spans="2:9">
      <c r="B8" s="152"/>
      <c r="C8" s="150">
        <v>0.23783976000000001</v>
      </c>
      <c r="D8" s="155"/>
      <c r="F8" s="152"/>
      <c r="G8" s="150">
        <v>3.2266597340000001</v>
      </c>
      <c r="H8" s="150"/>
    </row>
    <row r="9" spans="2:9">
      <c r="B9" s="152"/>
      <c r="C9" s="150">
        <v>0.23133589500000001</v>
      </c>
      <c r="D9" s="155"/>
      <c r="F9" s="152"/>
      <c r="G9" s="150"/>
      <c r="H9" s="155"/>
    </row>
    <row r="10" spans="2:9">
      <c r="B10" s="156" t="s">
        <v>17</v>
      </c>
      <c r="C10" s="119">
        <f>AVERAGE(C4:C9)</f>
        <v>0.48886622266666668</v>
      </c>
      <c r="D10" s="157">
        <f>AVERAGE(D4:D9)</f>
        <v>0.71825055000000004</v>
      </c>
      <c r="F10" s="156" t="s">
        <v>17</v>
      </c>
      <c r="G10" s="119">
        <f>AVERAGE(G4:G9)</f>
        <v>3.416579821</v>
      </c>
      <c r="H10" s="157">
        <f>AVERAGE(H4:H9)</f>
        <v>3.5439249429999999</v>
      </c>
    </row>
    <row r="11" spans="2:9">
      <c r="B11" s="152"/>
      <c r="C11" s="149"/>
      <c r="D11" s="158"/>
      <c r="F11" s="152"/>
      <c r="H11" s="164"/>
    </row>
    <row r="12" spans="2:9">
      <c r="B12" s="152"/>
      <c r="C12" s="159" t="s">
        <v>254</v>
      </c>
      <c r="D12" s="155" t="s">
        <v>255</v>
      </c>
      <c r="F12" s="152"/>
      <c r="G12" s="159" t="s">
        <v>254</v>
      </c>
      <c r="H12" s="155" t="s">
        <v>255</v>
      </c>
    </row>
    <row r="13" spans="2:9">
      <c r="B13" s="152"/>
      <c r="C13" s="159"/>
      <c r="D13" s="155"/>
      <c r="F13" s="152"/>
      <c r="G13" s="159"/>
      <c r="H13" s="155"/>
    </row>
    <row r="14" spans="2:9">
      <c r="B14" s="152"/>
      <c r="C14" s="159" t="s">
        <v>68</v>
      </c>
      <c r="D14" s="155" t="s">
        <v>213</v>
      </c>
      <c r="F14" s="152"/>
      <c r="G14" s="159" t="s">
        <v>68</v>
      </c>
      <c r="H14" s="155" t="s">
        <v>260</v>
      </c>
    </row>
    <row r="15" spans="2:9">
      <c r="B15" s="152"/>
      <c r="C15" s="159" t="s">
        <v>70</v>
      </c>
      <c r="D15" s="155" t="s">
        <v>70</v>
      </c>
      <c r="F15" s="152"/>
      <c r="G15" s="159" t="s">
        <v>70</v>
      </c>
      <c r="H15" s="155" t="s">
        <v>70</v>
      </c>
    </row>
    <row r="16" spans="2:9">
      <c r="B16" s="152"/>
      <c r="C16" s="159" t="s">
        <v>71</v>
      </c>
      <c r="D16" s="155" t="s">
        <v>72</v>
      </c>
      <c r="F16" s="152"/>
      <c r="G16" s="159" t="s">
        <v>71</v>
      </c>
      <c r="H16" s="155" t="s">
        <v>72</v>
      </c>
    </row>
    <row r="17" spans="2:8">
      <c r="B17" s="152"/>
      <c r="C17" s="159"/>
      <c r="D17" s="155"/>
      <c r="F17" s="152"/>
      <c r="G17" s="159"/>
      <c r="H17" s="155"/>
    </row>
    <row r="18" spans="2:8">
      <c r="B18" s="152"/>
      <c r="C18" s="159" t="s">
        <v>73</v>
      </c>
      <c r="D18" s="155"/>
      <c r="F18" s="152"/>
      <c r="G18" s="159" t="s">
        <v>73</v>
      </c>
      <c r="H18" s="155"/>
    </row>
    <row r="19" spans="2:8">
      <c r="B19" s="152"/>
      <c r="C19" s="159" t="s">
        <v>74</v>
      </c>
      <c r="D19" s="155">
        <v>0.26190000000000002</v>
      </c>
      <c r="F19" s="152"/>
      <c r="G19" s="159" t="s">
        <v>74</v>
      </c>
      <c r="H19" s="155">
        <v>0.62860000000000005</v>
      </c>
    </row>
    <row r="20" spans="2:8">
      <c r="B20" s="152"/>
      <c r="C20" s="159" t="s">
        <v>75</v>
      </c>
      <c r="D20" s="155" t="s">
        <v>76</v>
      </c>
      <c r="F20" s="152"/>
      <c r="G20" s="159" t="s">
        <v>75</v>
      </c>
      <c r="H20" s="155" t="s">
        <v>76</v>
      </c>
    </row>
    <row r="21" spans="2:8">
      <c r="B21" s="152"/>
      <c r="C21" s="159" t="s">
        <v>77</v>
      </c>
      <c r="D21" s="155" t="s">
        <v>93</v>
      </c>
      <c r="F21" s="152"/>
      <c r="G21" s="159" t="s">
        <v>77</v>
      </c>
      <c r="H21" s="155" t="s">
        <v>93</v>
      </c>
    </row>
    <row r="22" spans="2:8">
      <c r="B22" s="152"/>
      <c r="C22" s="159" t="s">
        <v>79</v>
      </c>
      <c r="D22" s="155" t="s">
        <v>94</v>
      </c>
      <c r="F22" s="152"/>
      <c r="G22" s="159" t="s">
        <v>79</v>
      </c>
      <c r="H22" s="155" t="s">
        <v>94</v>
      </c>
    </row>
    <row r="23" spans="2:8">
      <c r="B23" s="152"/>
      <c r="C23" s="159" t="s">
        <v>81</v>
      </c>
      <c r="D23" s="155" t="s">
        <v>82</v>
      </c>
      <c r="F23" s="152"/>
      <c r="G23" s="159" t="s">
        <v>81</v>
      </c>
      <c r="H23" s="155" t="s">
        <v>82</v>
      </c>
    </row>
    <row r="24" spans="2:8">
      <c r="B24" s="152"/>
      <c r="C24" s="159" t="s">
        <v>83</v>
      </c>
      <c r="D24" s="155" t="s">
        <v>256</v>
      </c>
      <c r="F24" s="152"/>
      <c r="G24" s="159" t="s">
        <v>83</v>
      </c>
      <c r="H24" s="155" t="s">
        <v>261</v>
      </c>
    </row>
    <row r="25" spans="2:8">
      <c r="B25" s="152"/>
      <c r="C25" s="159" t="s">
        <v>85</v>
      </c>
      <c r="D25" s="155">
        <v>4</v>
      </c>
      <c r="F25" s="152"/>
      <c r="G25" s="159" t="s">
        <v>85</v>
      </c>
      <c r="H25" s="155">
        <v>4</v>
      </c>
    </row>
    <row r="26" spans="2:8">
      <c r="B26" s="152"/>
      <c r="C26" s="159"/>
      <c r="D26" s="155"/>
      <c r="F26" s="152"/>
      <c r="G26" s="159"/>
      <c r="H26" s="155"/>
    </row>
    <row r="27" spans="2:8">
      <c r="B27" s="152"/>
      <c r="C27" s="159" t="s">
        <v>86</v>
      </c>
      <c r="D27" s="155"/>
      <c r="F27" s="152"/>
      <c r="G27" s="159" t="s">
        <v>86</v>
      </c>
      <c r="H27" s="155"/>
    </row>
    <row r="28" spans="2:8">
      <c r="B28" s="152"/>
      <c r="C28" s="159" t="s">
        <v>87</v>
      </c>
      <c r="D28" s="155" t="s">
        <v>257</v>
      </c>
      <c r="F28" s="152"/>
      <c r="G28" s="159" t="s">
        <v>87</v>
      </c>
      <c r="H28" s="155" t="s">
        <v>262</v>
      </c>
    </row>
    <row r="29" spans="2:8">
      <c r="B29" s="152"/>
      <c r="C29" s="159" t="s">
        <v>89</v>
      </c>
      <c r="D29" s="155" t="s">
        <v>258</v>
      </c>
      <c r="F29" s="152"/>
      <c r="G29" s="159" t="s">
        <v>89</v>
      </c>
      <c r="H29" s="155" t="s">
        <v>263</v>
      </c>
    </row>
    <row r="30" spans="2:8">
      <c r="B30" s="152"/>
      <c r="C30" s="159" t="s">
        <v>91</v>
      </c>
      <c r="D30" s="155">
        <v>0.3901</v>
      </c>
      <c r="F30" s="152"/>
      <c r="G30" s="159" t="s">
        <v>91</v>
      </c>
      <c r="H30" s="155">
        <v>4.8710000000000003E-2</v>
      </c>
    </row>
    <row r="31" spans="2:8" ht="17" thickBot="1">
      <c r="B31" s="165"/>
      <c r="C31" s="160" t="s">
        <v>92</v>
      </c>
      <c r="D31" s="161">
        <v>0.29749999999999999</v>
      </c>
      <c r="F31" s="165"/>
      <c r="G31" s="160" t="s">
        <v>92</v>
      </c>
      <c r="H31" s="161">
        <v>0.13500000000000001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4760-382A-5A4E-97AF-C6787E3BD17E}">
  <dimension ref="A1:T23"/>
  <sheetViews>
    <sheetView zoomScale="88" zoomScaleNormal="88" workbookViewId="0">
      <selection activeCell="A4" sqref="A4"/>
    </sheetView>
  </sheetViews>
  <sheetFormatPr baseColWidth="10" defaultRowHeight="14"/>
  <cols>
    <col min="1" max="1" width="18.33203125" style="4" customWidth="1"/>
    <col min="2" max="16384" width="10.83203125" style="4"/>
  </cols>
  <sheetData>
    <row r="1" spans="1:20">
      <c r="A1" s="6" t="s">
        <v>48</v>
      </c>
      <c r="B1" s="6"/>
    </row>
    <row r="2" spans="1:20">
      <c r="O2" s="45" t="s">
        <v>52</v>
      </c>
      <c r="P2" s="45" t="s">
        <v>17</v>
      </c>
      <c r="Q2" s="45" t="s">
        <v>32</v>
      </c>
      <c r="S2" s="29"/>
    </row>
    <row r="3" spans="1:20">
      <c r="A3" s="46" t="s">
        <v>213</v>
      </c>
      <c r="B3" s="39" t="s">
        <v>47</v>
      </c>
      <c r="C3" s="39">
        <v>7731</v>
      </c>
      <c r="D3" s="39">
        <v>7733</v>
      </c>
      <c r="E3" s="39">
        <v>7734</v>
      </c>
      <c r="F3" s="39">
        <v>7994</v>
      </c>
      <c r="G3" s="39">
        <v>7998</v>
      </c>
      <c r="H3" s="39">
        <v>9616</v>
      </c>
      <c r="I3" s="39">
        <v>9619</v>
      </c>
      <c r="J3" s="39">
        <v>9882</v>
      </c>
      <c r="K3" s="39">
        <v>9885</v>
      </c>
      <c r="L3" s="39" t="s">
        <v>38</v>
      </c>
      <c r="M3" s="39" t="s">
        <v>39</v>
      </c>
      <c r="N3" s="39" t="s">
        <v>40</v>
      </c>
      <c r="S3" s="29"/>
    </row>
    <row r="4" spans="1:20">
      <c r="A4" s="49"/>
      <c r="B4" s="20">
        <v>0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S4" s="29"/>
    </row>
    <row r="5" spans="1:20">
      <c r="B5" s="20">
        <v>5</v>
      </c>
      <c r="C5" s="47">
        <v>125.5123534731346</v>
      </c>
      <c r="D5" s="47">
        <v>0</v>
      </c>
      <c r="E5" s="47">
        <v>20.320040640081281</v>
      </c>
      <c r="F5" s="47">
        <v>376.97285639414048</v>
      </c>
      <c r="G5" s="47">
        <v>7.6200152400304804</v>
      </c>
      <c r="H5" s="47">
        <v>148.37239919322604</v>
      </c>
      <c r="I5" s="47">
        <v>219.49254143351052</v>
      </c>
      <c r="J5" s="47">
        <v>58.420116840233682</v>
      </c>
      <c r="K5" s="47">
        <v>736.60147320294641</v>
      </c>
      <c r="L5" s="47">
        <v>48.260096520193038</v>
      </c>
      <c r="M5" s="47">
        <v>7.6200152400304804</v>
      </c>
      <c r="N5" s="47">
        <v>196.63249571341908</v>
      </c>
      <c r="O5" s="20">
        <v>5</v>
      </c>
      <c r="P5" s="48">
        <f t="shared" ref="P5:P10" si="0">AVERAGE(C5:N5)</f>
        <v>162.15203365757884</v>
      </c>
      <c r="Q5" s="29">
        <v>46.81</v>
      </c>
      <c r="S5" s="29"/>
    </row>
    <row r="6" spans="1:20">
      <c r="B6" s="20">
        <v>10</v>
      </c>
      <c r="C6" s="47">
        <v>267.75263795370358</v>
      </c>
      <c r="D6" s="47">
        <v>0</v>
      </c>
      <c r="E6" s="47">
        <v>50.800101600203199</v>
      </c>
      <c r="F6" s="47">
        <v>756.0499218935546</v>
      </c>
      <c r="G6" s="47">
        <v>7.6200152400304804</v>
      </c>
      <c r="H6" s="47">
        <v>334.84487458660448</v>
      </c>
      <c r="I6" s="47">
        <v>437.49718233964768</v>
      </c>
      <c r="J6" s="47">
        <v>129.54025908051815</v>
      </c>
      <c r="K6" s="47">
        <v>1267.4625349250698</v>
      </c>
      <c r="L6" s="47">
        <v>139.7002794005588</v>
      </c>
      <c r="M6" s="47">
        <v>15.240030480060961</v>
      </c>
      <c r="N6" s="47">
        <v>390.72498634682808</v>
      </c>
      <c r="O6" s="20">
        <v>10</v>
      </c>
      <c r="P6" s="48">
        <f t="shared" si="0"/>
        <v>316.4360686538983</v>
      </c>
      <c r="Q6" s="29">
        <v>91.35</v>
      </c>
      <c r="S6" s="29"/>
    </row>
    <row r="7" spans="1:20">
      <c r="A7" s="49"/>
      <c r="B7" s="20">
        <v>15</v>
      </c>
      <c r="C7" s="47">
        <v>453.17300879444531</v>
      </c>
      <c r="D7" s="47">
        <v>0</v>
      </c>
      <c r="E7" s="47">
        <v>111.76022352044704</v>
      </c>
      <c r="F7" s="47">
        <v>1149.91452718247</v>
      </c>
      <c r="G7" s="47">
        <v>15.240030480060961</v>
      </c>
      <c r="H7" s="47">
        <v>502.48520986727505</v>
      </c>
      <c r="I7" s="47">
        <v>617.83754302036903</v>
      </c>
      <c r="J7" s="47">
        <v>210.82042164084328</v>
      </c>
      <c r="K7" s="47">
        <v>1888.1527719398957</v>
      </c>
      <c r="L7" s="47">
        <v>290.612683673795</v>
      </c>
      <c r="M7" s="47">
        <v>25.400050800101599</v>
      </c>
      <c r="N7" s="47">
        <v>626.94545878777296</v>
      </c>
      <c r="O7" s="20">
        <v>15</v>
      </c>
      <c r="P7" s="48">
        <f t="shared" si="0"/>
        <v>491.02849414228967</v>
      </c>
      <c r="Q7" s="29">
        <v>141.75</v>
      </c>
      <c r="S7" s="29"/>
    </row>
    <row r="8" spans="1:20">
      <c r="A8" s="49"/>
      <c r="B8" s="20">
        <v>20</v>
      </c>
      <c r="C8" s="47">
        <v>595.41329327501421</v>
      </c>
      <c r="D8" s="47">
        <v>0</v>
      </c>
      <c r="E8" s="47">
        <v>175.26035052070105</v>
      </c>
      <c r="F8" s="47">
        <v>1515.6752587039327</v>
      </c>
      <c r="G8" s="47">
        <v>15.240030480060961</v>
      </c>
      <c r="H8" s="47">
        <v>671.17764970058249</v>
      </c>
      <c r="I8" s="47">
        <v>842.41009461390001</v>
      </c>
      <c r="J8" s="47">
        <v>297.18059436118875</v>
      </c>
      <c r="K8" s="47">
        <v>2504.8979057982683</v>
      </c>
      <c r="L8" s="47">
        <v>404.91291227425222</v>
      </c>
      <c r="M8" s="47">
        <v>43.180086360172723</v>
      </c>
      <c r="N8" s="47">
        <v>887.28829874883809</v>
      </c>
      <c r="O8" s="20">
        <v>20</v>
      </c>
      <c r="P8" s="48">
        <f t="shared" si="0"/>
        <v>662.71970623640925</v>
      </c>
      <c r="Q8" s="29">
        <v>191.31</v>
      </c>
      <c r="S8" s="29"/>
    </row>
    <row r="9" spans="1:20">
      <c r="A9" s="49"/>
      <c r="B9" s="20">
        <v>25</v>
      </c>
      <c r="C9" s="47">
        <v>752.89360823564414</v>
      </c>
      <c r="D9" s="47">
        <v>5.0800101600203202</v>
      </c>
      <c r="E9" s="47">
        <v>233.68046736093473</v>
      </c>
      <c r="F9" s="47">
        <v>1888.6202094906898</v>
      </c>
      <c r="G9" s="47">
        <v>15.240030480060961</v>
      </c>
      <c r="H9" s="47">
        <v>838.81798498125306</v>
      </c>
      <c r="I9" s="47">
        <v>1082.2226766874919</v>
      </c>
      <c r="J9" s="47">
        <v>359.19282083406938</v>
      </c>
      <c r="K9" s="47">
        <v>3132.5918494752245</v>
      </c>
      <c r="L9" s="47">
        <v>527.88526066737677</v>
      </c>
      <c r="M9" s="47">
        <v>58.420116840233682</v>
      </c>
      <c r="N9" s="47">
        <v>1133.8493041129873</v>
      </c>
      <c r="O9" s="20">
        <v>25</v>
      </c>
      <c r="P9" s="48">
        <f t="shared" si="0"/>
        <v>835.70786161049909</v>
      </c>
      <c r="Q9" s="29">
        <v>241.25</v>
      </c>
    </row>
    <row r="10" spans="1:20" ht="15" thickBot="1">
      <c r="A10" s="49"/>
      <c r="B10" s="20">
        <v>30</v>
      </c>
      <c r="C10" s="47">
        <v>907.83391811626393</v>
      </c>
      <c r="D10" s="47">
        <v>5.0800101600203202</v>
      </c>
      <c r="E10" s="47">
        <v>302.26060452120907</v>
      </c>
      <c r="F10" s="47">
        <v>2242.2972241900025</v>
      </c>
      <c r="G10" s="47">
        <v>17.78003556007112</v>
      </c>
      <c r="H10" s="50">
        <v>991.83459835976282</v>
      </c>
      <c r="I10" s="50">
        <v>1286.4751876409414</v>
      </c>
      <c r="J10" s="50">
        <v>491.2730849945977</v>
      </c>
      <c r="K10" s="50">
        <v>3615.1928146771552</v>
      </c>
      <c r="L10" s="50">
        <v>642.18548926783387</v>
      </c>
      <c r="M10" s="50">
        <v>68.580137160274319</v>
      </c>
      <c r="N10" s="50">
        <v>1336.6139145390634</v>
      </c>
      <c r="O10" s="20">
        <v>30</v>
      </c>
      <c r="P10" s="48">
        <f t="shared" si="0"/>
        <v>992.28391826559982</v>
      </c>
      <c r="Q10" s="29">
        <v>347.74</v>
      </c>
    </row>
    <row r="11" spans="1:20">
      <c r="A11" s="49"/>
      <c r="P11" s="33"/>
    </row>
    <row r="12" spans="1:20">
      <c r="A12" s="49"/>
    </row>
    <row r="13" spans="1:20">
      <c r="A13" s="49"/>
      <c r="N13" s="6"/>
    </row>
    <row r="14" spans="1:20">
      <c r="A14" s="51" t="s">
        <v>19</v>
      </c>
      <c r="B14" s="27" t="s">
        <v>47</v>
      </c>
      <c r="C14" s="27">
        <v>9234</v>
      </c>
      <c r="D14" s="27">
        <v>9236</v>
      </c>
      <c r="E14" s="27">
        <v>9238</v>
      </c>
      <c r="F14" s="27" t="s">
        <v>44</v>
      </c>
      <c r="G14" s="27">
        <v>9618</v>
      </c>
      <c r="H14" s="27">
        <v>9884</v>
      </c>
      <c r="I14" s="52">
        <v>8018</v>
      </c>
      <c r="J14" s="52">
        <v>8019</v>
      </c>
      <c r="K14" s="27">
        <v>8020</v>
      </c>
      <c r="L14" s="30" t="s">
        <v>45</v>
      </c>
      <c r="O14" s="24"/>
      <c r="P14" s="30"/>
      <c r="Q14" s="27"/>
      <c r="R14" s="24"/>
      <c r="S14" s="24"/>
      <c r="T14" s="24"/>
    </row>
    <row r="15" spans="1:20">
      <c r="A15" s="176"/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O15" s="6" t="s">
        <v>52</v>
      </c>
      <c r="P15" s="6" t="s">
        <v>17</v>
      </c>
      <c r="Q15" s="6" t="s">
        <v>32</v>
      </c>
      <c r="R15" s="24"/>
      <c r="S15" s="29"/>
      <c r="T15" s="24"/>
    </row>
    <row r="16" spans="1:20">
      <c r="A16" s="30"/>
      <c r="B16" s="30">
        <v>5</v>
      </c>
      <c r="C16" s="53">
        <v>124.46</v>
      </c>
      <c r="D16" s="53"/>
      <c r="E16" s="53">
        <v>214.41</v>
      </c>
      <c r="F16" s="53">
        <v>81.28</v>
      </c>
      <c r="G16" s="53">
        <v>275.37</v>
      </c>
      <c r="H16" s="53">
        <v>206.79</v>
      </c>
      <c r="I16" s="53">
        <v>154.94</v>
      </c>
      <c r="J16" s="53">
        <v>378.71</v>
      </c>
      <c r="K16" s="53">
        <v>231.14</v>
      </c>
      <c r="L16" s="53">
        <v>180.34</v>
      </c>
      <c r="O16" s="20">
        <v>5</v>
      </c>
      <c r="P16" s="48">
        <f t="shared" ref="P16:P21" si="1">AVERAGE(C16:L16)</f>
        <v>205.27111111111108</v>
      </c>
      <c r="Q16" s="29">
        <v>26.12</v>
      </c>
      <c r="R16" s="27"/>
      <c r="S16" s="29"/>
      <c r="T16" s="27"/>
    </row>
    <row r="17" spans="1:20">
      <c r="A17" s="30"/>
      <c r="B17" s="30">
        <v>10</v>
      </c>
      <c r="C17" s="53">
        <v>269.24</v>
      </c>
      <c r="D17" s="53">
        <v>469.9</v>
      </c>
      <c r="E17" s="53">
        <v>456.77</v>
      </c>
      <c r="F17" s="53">
        <v>154.94</v>
      </c>
      <c r="G17" s="53">
        <v>524.29</v>
      </c>
      <c r="H17" s="53">
        <v>417.61</v>
      </c>
      <c r="I17" s="53">
        <v>320.04000000000002</v>
      </c>
      <c r="J17" s="53">
        <v>642.44000000000005</v>
      </c>
      <c r="K17" s="53">
        <v>520.70000000000005</v>
      </c>
      <c r="L17" s="53">
        <v>358.14</v>
      </c>
      <c r="O17" s="20">
        <v>10</v>
      </c>
      <c r="P17" s="48">
        <f t="shared" si="1"/>
        <v>413.40700000000004</v>
      </c>
      <c r="Q17" s="29">
        <v>44.81</v>
      </c>
      <c r="R17" s="33"/>
      <c r="S17" s="29"/>
      <c r="T17" s="30"/>
    </row>
    <row r="18" spans="1:20">
      <c r="A18" s="24"/>
      <c r="B18" s="30">
        <v>15</v>
      </c>
      <c r="C18" s="53">
        <v>436.88</v>
      </c>
      <c r="D18" s="53">
        <v>739.14</v>
      </c>
      <c r="E18" s="53">
        <v>657.43</v>
      </c>
      <c r="F18" s="53">
        <v>238.76</v>
      </c>
      <c r="G18" s="53">
        <v>739.76</v>
      </c>
      <c r="H18" s="53">
        <v>639.65</v>
      </c>
      <c r="I18" s="53">
        <v>497.84</v>
      </c>
      <c r="J18" s="53">
        <v>1038.68</v>
      </c>
      <c r="K18" s="53">
        <v>932.49</v>
      </c>
      <c r="L18" s="53">
        <v>514.13</v>
      </c>
      <c r="O18" s="20">
        <v>15</v>
      </c>
      <c r="P18" s="48">
        <f t="shared" si="1"/>
        <v>643.476</v>
      </c>
      <c r="Q18" s="29">
        <v>74.739999999999995</v>
      </c>
      <c r="R18" s="33"/>
      <c r="S18" s="29"/>
      <c r="T18" s="30"/>
    </row>
    <row r="19" spans="1:20">
      <c r="A19" s="24"/>
      <c r="B19" s="30">
        <v>20</v>
      </c>
      <c r="C19" s="53">
        <v>586.74</v>
      </c>
      <c r="D19" s="53">
        <v>970.28</v>
      </c>
      <c r="E19" s="53">
        <v>933.85</v>
      </c>
      <c r="F19" s="53">
        <v>309.88</v>
      </c>
      <c r="G19" s="53">
        <v>968.96</v>
      </c>
      <c r="H19" s="53">
        <v>859.14</v>
      </c>
      <c r="I19" s="53">
        <v>648.75</v>
      </c>
      <c r="J19" s="53">
        <v>1429.84</v>
      </c>
      <c r="K19" s="53">
        <v>1323.66</v>
      </c>
      <c r="L19" s="53">
        <v>695.53</v>
      </c>
      <c r="O19" s="20">
        <v>20</v>
      </c>
      <c r="P19" s="48">
        <f t="shared" si="1"/>
        <v>872.66300000000012</v>
      </c>
      <c r="Q19" s="29">
        <v>106.28</v>
      </c>
      <c r="R19" s="33"/>
      <c r="S19" s="29"/>
      <c r="T19" s="30"/>
    </row>
    <row r="20" spans="1:20">
      <c r="A20" s="24"/>
      <c r="B20" s="30">
        <v>25</v>
      </c>
      <c r="C20" s="53">
        <v>713.74</v>
      </c>
      <c r="D20" s="53">
        <v>1135.3800000000001</v>
      </c>
      <c r="E20" s="53">
        <v>1196.52</v>
      </c>
      <c r="F20" s="53">
        <v>388.62</v>
      </c>
      <c r="G20" s="53">
        <v>1202.2</v>
      </c>
      <c r="H20" s="53">
        <v>1083.71</v>
      </c>
      <c r="I20" s="53">
        <v>792.05</v>
      </c>
      <c r="J20" s="53">
        <v>1935.01</v>
      </c>
      <c r="K20" s="53">
        <v>1644.75</v>
      </c>
      <c r="L20" s="53">
        <v>875.87</v>
      </c>
      <c r="O20" s="20">
        <v>25</v>
      </c>
      <c r="P20" s="48">
        <f t="shared" si="1"/>
        <v>1096.7850000000001</v>
      </c>
      <c r="Q20" s="29">
        <v>142.03</v>
      </c>
      <c r="R20" s="33"/>
      <c r="S20" s="29"/>
      <c r="T20" s="30"/>
    </row>
    <row r="21" spans="1:20" ht="15" thickBot="1">
      <c r="A21" s="24"/>
      <c r="B21" s="30">
        <v>30</v>
      </c>
      <c r="C21" s="53">
        <v>848.36</v>
      </c>
      <c r="D21" s="53">
        <v>1359.52</v>
      </c>
      <c r="E21" s="53">
        <v>1454.12</v>
      </c>
      <c r="F21" s="53">
        <v>469.9</v>
      </c>
      <c r="G21" s="53">
        <v>1397.78</v>
      </c>
      <c r="H21" s="53">
        <v>1264.05</v>
      </c>
      <c r="I21" s="54">
        <v>969.85</v>
      </c>
      <c r="J21" s="54">
        <v>2361.73</v>
      </c>
      <c r="K21" s="54">
        <v>1896.21</v>
      </c>
      <c r="L21" s="54">
        <v>1023.8</v>
      </c>
      <c r="O21" s="20">
        <v>30</v>
      </c>
      <c r="P21" s="48">
        <f t="shared" si="1"/>
        <v>1304.5319999999999</v>
      </c>
      <c r="Q21" s="29">
        <v>169.93</v>
      </c>
      <c r="R21" s="33"/>
      <c r="S21" s="29"/>
      <c r="T21" s="30"/>
    </row>
    <row r="22" spans="1:20">
      <c r="A22" s="24"/>
      <c r="B22" s="30"/>
      <c r="C22" s="53"/>
      <c r="D22" s="53"/>
      <c r="E22" s="53"/>
      <c r="F22" s="53"/>
      <c r="G22" s="53"/>
      <c r="H22" s="53"/>
      <c r="I22" s="53"/>
      <c r="J22" s="53"/>
      <c r="K22" s="53"/>
      <c r="L22" s="53"/>
      <c r="O22" s="30"/>
      <c r="P22" s="33"/>
      <c r="Q22" s="33"/>
      <c r="R22" s="33"/>
      <c r="S22" s="33"/>
      <c r="T22" s="30"/>
    </row>
    <row r="23" spans="1:20">
      <c r="A23" s="24"/>
      <c r="B23" s="30"/>
      <c r="C23" s="53"/>
      <c r="D23" s="53"/>
      <c r="E23" s="53"/>
      <c r="F23" s="53"/>
      <c r="G23" s="53"/>
      <c r="H23" s="53"/>
      <c r="I23" s="53"/>
      <c r="J23" s="53"/>
      <c r="K23" s="53"/>
      <c r="L23" s="53"/>
      <c r="R23" s="33"/>
      <c r="S23" s="33"/>
      <c r="T23" s="3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697E-96D7-3A4E-A79E-7DFDF30E896F}">
  <dimension ref="A1:Q54"/>
  <sheetViews>
    <sheetView topLeftCell="A10" zoomScale="80" zoomScaleNormal="80" workbookViewId="0">
      <selection sqref="A1:XFD1048576"/>
    </sheetView>
  </sheetViews>
  <sheetFormatPr baseColWidth="10" defaultRowHeight="14"/>
  <cols>
    <col min="1" max="1" width="10.83203125" style="4" customWidth="1"/>
    <col min="2" max="2" width="10.83203125" style="4"/>
    <col min="3" max="3" width="43" style="4" customWidth="1"/>
    <col min="4" max="8" width="10.83203125" style="4"/>
    <col min="9" max="9" width="16.1640625" style="4" customWidth="1"/>
    <col min="10" max="10" width="22.33203125" style="4" customWidth="1"/>
    <col min="11" max="14" width="10.83203125" style="4"/>
    <col min="15" max="15" width="24.83203125" style="4" customWidth="1"/>
    <col min="16" max="16384" width="10.83203125" style="4"/>
  </cols>
  <sheetData>
    <row r="1" spans="1:17">
      <c r="A1" s="6" t="s">
        <v>51</v>
      </c>
    </row>
    <row r="3" spans="1:17">
      <c r="A3" s="5" t="s">
        <v>41</v>
      </c>
      <c r="B3" s="5"/>
      <c r="C3" s="21"/>
    </row>
    <row r="4" spans="1:17" ht="15">
      <c r="A4" s="21"/>
      <c r="B4" s="22" t="s">
        <v>53</v>
      </c>
      <c r="C4" s="23"/>
      <c r="D4" s="24"/>
      <c r="E4" s="25"/>
      <c r="F4" s="24"/>
      <c r="G4" s="24"/>
      <c r="H4" s="24"/>
      <c r="I4" s="26" t="s">
        <v>22</v>
      </c>
      <c r="J4" s="27" t="s">
        <v>23</v>
      </c>
      <c r="K4" s="24"/>
      <c r="L4" s="24"/>
      <c r="M4" s="24"/>
    </row>
    <row r="5" spans="1:17">
      <c r="B5" s="27" t="s">
        <v>24</v>
      </c>
      <c r="C5" s="27" t="s">
        <v>5</v>
      </c>
      <c r="D5" s="27" t="s">
        <v>25</v>
      </c>
      <c r="E5" s="27" t="s">
        <v>26</v>
      </c>
      <c r="F5" s="27" t="s">
        <v>27</v>
      </c>
      <c r="G5" s="27" t="s">
        <v>28</v>
      </c>
      <c r="H5" s="27" t="s">
        <v>29</v>
      </c>
      <c r="I5" s="26" t="s">
        <v>23</v>
      </c>
      <c r="J5" s="27" t="s">
        <v>30</v>
      </c>
      <c r="K5" s="27" t="s">
        <v>31</v>
      </c>
      <c r="L5" s="27" t="s">
        <v>32</v>
      </c>
      <c r="M5" s="27" t="s">
        <v>33</v>
      </c>
      <c r="O5" s="28"/>
      <c r="P5" s="29"/>
      <c r="Q5" s="29"/>
    </row>
    <row r="6" spans="1:17">
      <c r="B6" s="30">
        <v>7731</v>
      </c>
      <c r="C6" s="30" t="s">
        <v>34</v>
      </c>
      <c r="D6" s="31">
        <v>43558</v>
      </c>
      <c r="E6" s="30" t="s">
        <v>35</v>
      </c>
      <c r="F6" s="31">
        <v>43649</v>
      </c>
      <c r="G6" s="30" t="s">
        <v>36</v>
      </c>
      <c r="H6" s="30">
        <v>29.6</v>
      </c>
      <c r="I6" s="27"/>
      <c r="J6" s="32">
        <v>31.4</v>
      </c>
      <c r="K6" s="33">
        <v>32.11</v>
      </c>
      <c r="L6" s="33">
        <v>10.7</v>
      </c>
      <c r="M6" s="27">
        <v>12</v>
      </c>
      <c r="O6" s="28"/>
      <c r="P6" s="29"/>
      <c r="Q6" s="29"/>
    </row>
    <row r="7" spans="1:17">
      <c r="B7" s="30">
        <v>7733</v>
      </c>
      <c r="C7" s="30" t="s">
        <v>34</v>
      </c>
      <c r="D7" s="31">
        <v>43558</v>
      </c>
      <c r="E7" s="30" t="s">
        <v>35</v>
      </c>
      <c r="F7" s="31">
        <v>43649</v>
      </c>
      <c r="G7" s="30" t="s">
        <v>36</v>
      </c>
      <c r="H7" s="34">
        <v>23.3</v>
      </c>
      <c r="I7" s="27">
        <v>0</v>
      </c>
      <c r="J7" s="24"/>
      <c r="K7" s="24"/>
      <c r="L7" s="24"/>
      <c r="M7" s="24"/>
      <c r="O7" s="28"/>
      <c r="P7" s="29"/>
      <c r="Q7" s="29"/>
    </row>
    <row r="8" spans="1:17">
      <c r="B8" s="30">
        <v>7734</v>
      </c>
      <c r="C8" s="30" t="s">
        <v>34</v>
      </c>
      <c r="D8" s="31">
        <v>43558</v>
      </c>
      <c r="E8" s="30" t="s">
        <v>35</v>
      </c>
      <c r="F8" s="31">
        <v>43649</v>
      </c>
      <c r="G8" s="30" t="s">
        <v>36</v>
      </c>
      <c r="H8" s="30">
        <v>21.8</v>
      </c>
      <c r="I8" s="27">
        <v>9</v>
      </c>
      <c r="J8" s="24"/>
      <c r="K8" s="24"/>
      <c r="L8" s="24"/>
      <c r="M8" s="24"/>
      <c r="O8" s="28"/>
      <c r="P8" s="29"/>
      <c r="Q8" s="29"/>
    </row>
    <row r="9" spans="1:17">
      <c r="B9" s="30">
        <v>7994</v>
      </c>
      <c r="C9" s="30" t="s">
        <v>34</v>
      </c>
      <c r="D9" s="31">
        <v>43608</v>
      </c>
      <c r="E9" s="30" t="s">
        <v>35</v>
      </c>
      <c r="F9" s="31">
        <v>43697</v>
      </c>
      <c r="G9" s="30" t="s">
        <v>36</v>
      </c>
      <c r="H9" s="34">
        <v>27.9</v>
      </c>
      <c r="I9" s="27">
        <v>81</v>
      </c>
      <c r="J9" s="24"/>
      <c r="K9" s="24"/>
      <c r="L9" s="24"/>
      <c r="M9" s="24"/>
      <c r="O9" s="28"/>
      <c r="P9" s="29"/>
      <c r="Q9" s="29"/>
    </row>
    <row r="10" spans="1:17">
      <c r="B10" s="30">
        <v>7998</v>
      </c>
      <c r="C10" s="30" t="s">
        <v>34</v>
      </c>
      <c r="D10" s="31">
        <v>43608</v>
      </c>
      <c r="E10" s="30" t="s">
        <v>35</v>
      </c>
      <c r="F10" s="31">
        <v>43697</v>
      </c>
      <c r="G10" s="30" t="s">
        <v>36</v>
      </c>
      <c r="H10" s="30">
        <v>28.5</v>
      </c>
      <c r="I10" s="27">
        <v>0</v>
      </c>
      <c r="J10" s="24"/>
      <c r="K10" s="24"/>
      <c r="L10" s="24"/>
      <c r="M10" s="24"/>
      <c r="O10" s="28"/>
      <c r="P10" s="29"/>
      <c r="Q10" s="29"/>
    </row>
    <row r="11" spans="1:17">
      <c r="B11" s="30">
        <v>9616</v>
      </c>
      <c r="C11" s="30" t="s">
        <v>34</v>
      </c>
      <c r="D11" s="31">
        <v>44095</v>
      </c>
      <c r="E11" s="30" t="s">
        <v>35</v>
      </c>
      <c r="F11" s="31">
        <v>44181</v>
      </c>
      <c r="G11" s="30" t="s">
        <v>37</v>
      </c>
      <c r="H11" s="30">
        <v>26.7</v>
      </c>
      <c r="I11" s="27">
        <v>42</v>
      </c>
      <c r="J11" s="24"/>
      <c r="K11" s="24"/>
      <c r="L11" s="24"/>
      <c r="M11" s="24"/>
      <c r="O11" s="28"/>
      <c r="P11" s="29"/>
      <c r="Q11" s="29"/>
    </row>
    <row r="12" spans="1:17">
      <c r="B12" s="30">
        <v>9619</v>
      </c>
      <c r="C12" s="30" t="s">
        <v>34</v>
      </c>
      <c r="D12" s="31">
        <v>44095</v>
      </c>
      <c r="E12" s="30" t="s">
        <v>35</v>
      </c>
      <c r="F12" s="31">
        <v>44181</v>
      </c>
      <c r="G12" s="30" t="s">
        <v>37</v>
      </c>
      <c r="H12" s="34">
        <v>30.1</v>
      </c>
      <c r="I12" s="27">
        <v>45</v>
      </c>
      <c r="J12" s="24"/>
      <c r="K12" s="24"/>
      <c r="L12" s="24"/>
      <c r="M12" s="24"/>
      <c r="O12" s="28"/>
      <c r="P12" s="29"/>
      <c r="Q12" s="29"/>
    </row>
    <row r="13" spans="1:17">
      <c r="B13" s="30">
        <v>9882</v>
      </c>
      <c r="C13" s="30" t="s">
        <v>34</v>
      </c>
      <c r="D13" s="31">
        <v>44212</v>
      </c>
      <c r="E13" s="30" t="s">
        <v>35</v>
      </c>
      <c r="F13" s="31">
        <v>44298</v>
      </c>
      <c r="G13" s="30">
        <v>12</v>
      </c>
      <c r="H13" s="30">
        <v>27.8</v>
      </c>
      <c r="I13" s="27">
        <v>6</v>
      </c>
      <c r="J13" s="24"/>
      <c r="K13" s="24"/>
      <c r="L13" s="24"/>
      <c r="M13" s="24"/>
      <c r="O13" s="28"/>
      <c r="P13" s="29"/>
      <c r="Q13" s="29"/>
    </row>
    <row r="14" spans="1:17">
      <c r="B14" s="30">
        <v>9885</v>
      </c>
      <c r="C14" s="30" t="s">
        <v>34</v>
      </c>
      <c r="D14" s="31">
        <v>44212</v>
      </c>
      <c r="E14" s="30" t="s">
        <v>35</v>
      </c>
      <c r="F14" s="31">
        <v>44298</v>
      </c>
      <c r="G14" s="30">
        <v>12</v>
      </c>
      <c r="H14" s="30">
        <v>27.8</v>
      </c>
      <c r="I14" s="27">
        <v>68</v>
      </c>
      <c r="J14" s="24"/>
      <c r="K14" s="24"/>
      <c r="L14" s="24"/>
      <c r="M14" s="24"/>
      <c r="O14" s="28"/>
      <c r="P14" s="29"/>
      <c r="Q14" s="29"/>
    </row>
    <row r="15" spans="1:17">
      <c r="B15" s="30" t="s">
        <v>38</v>
      </c>
      <c r="C15" s="30" t="s">
        <v>34</v>
      </c>
      <c r="D15" s="31">
        <v>44862</v>
      </c>
      <c r="E15" s="30" t="s">
        <v>35</v>
      </c>
      <c r="F15" s="31">
        <v>44949</v>
      </c>
      <c r="G15" s="30" t="s">
        <v>37</v>
      </c>
      <c r="H15" s="30">
        <v>28.3</v>
      </c>
      <c r="I15" s="27">
        <v>10</v>
      </c>
      <c r="J15" s="24"/>
      <c r="K15" s="24"/>
      <c r="L15" s="24"/>
      <c r="M15" s="24"/>
      <c r="O15" s="28"/>
      <c r="P15" s="29"/>
      <c r="Q15" s="29"/>
    </row>
    <row r="16" spans="1:17">
      <c r="B16" s="30" t="s">
        <v>39</v>
      </c>
      <c r="C16" s="30" t="s">
        <v>34</v>
      </c>
      <c r="D16" s="31">
        <v>44919</v>
      </c>
      <c r="E16" s="30" t="s">
        <v>35</v>
      </c>
      <c r="F16" s="31">
        <v>45005</v>
      </c>
      <c r="G16" s="30" t="s">
        <v>37</v>
      </c>
      <c r="H16" s="30">
        <v>30.3</v>
      </c>
      <c r="I16" s="27">
        <v>0</v>
      </c>
      <c r="J16" s="24"/>
      <c r="K16" s="24"/>
      <c r="L16" s="24"/>
      <c r="M16" s="24"/>
      <c r="O16" s="28"/>
      <c r="P16" s="29"/>
      <c r="Q16" s="29"/>
    </row>
    <row r="17" spans="1:13">
      <c r="B17" s="30" t="s">
        <v>40</v>
      </c>
      <c r="C17" s="30" t="s">
        <v>34</v>
      </c>
      <c r="D17" s="31">
        <v>44943</v>
      </c>
      <c r="E17" s="30" t="s">
        <v>35</v>
      </c>
      <c r="F17" s="31">
        <v>45022</v>
      </c>
      <c r="G17" s="30" t="s">
        <v>37</v>
      </c>
      <c r="H17" s="30">
        <v>29.6</v>
      </c>
      <c r="I17" s="27">
        <v>22</v>
      </c>
      <c r="J17" s="24"/>
      <c r="K17" s="24"/>
      <c r="L17" s="24"/>
      <c r="M17" s="24"/>
    </row>
    <row r="21" spans="1:13">
      <c r="A21" s="7" t="s">
        <v>42</v>
      </c>
      <c r="B21" s="35"/>
      <c r="C21" s="35"/>
      <c r="J21" s="27" t="s">
        <v>22</v>
      </c>
    </row>
    <row r="22" spans="1:13" ht="15">
      <c r="A22" s="36"/>
      <c r="B22" s="37" t="s">
        <v>54</v>
      </c>
      <c r="C22" s="35"/>
      <c r="E22" s="6"/>
      <c r="F22" s="6"/>
      <c r="G22" s="6"/>
      <c r="H22" s="6"/>
      <c r="I22" s="38" t="s">
        <v>22</v>
      </c>
      <c r="J22" s="39" t="s">
        <v>23</v>
      </c>
    </row>
    <row r="23" spans="1:13">
      <c r="B23" s="39" t="s">
        <v>24</v>
      </c>
      <c r="C23" s="39" t="s">
        <v>5</v>
      </c>
      <c r="D23" s="39" t="s">
        <v>25</v>
      </c>
      <c r="E23" s="39" t="s">
        <v>26</v>
      </c>
      <c r="F23" s="39" t="s">
        <v>27</v>
      </c>
      <c r="G23" s="39" t="s">
        <v>28</v>
      </c>
      <c r="H23" s="39" t="s">
        <v>29</v>
      </c>
      <c r="I23" s="40" t="s">
        <v>23</v>
      </c>
      <c r="J23" s="39" t="s">
        <v>30</v>
      </c>
      <c r="K23" s="39" t="s">
        <v>31</v>
      </c>
      <c r="L23" s="39" t="s">
        <v>32</v>
      </c>
      <c r="M23" s="39" t="s">
        <v>33</v>
      </c>
    </row>
    <row r="24" spans="1:13">
      <c r="B24" s="20">
        <v>9234</v>
      </c>
      <c r="C24" s="20" t="s">
        <v>43</v>
      </c>
      <c r="D24" s="41">
        <v>43955</v>
      </c>
      <c r="E24" s="20" t="s">
        <v>35</v>
      </c>
      <c r="F24" s="41">
        <v>44055</v>
      </c>
      <c r="G24" s="20" t="s">
        <v>37</v>
      </c>
      <c r="H24" s="20">
        <v>29.9</v>
      </c>
      <c r="I24" s="39">
        <v>21</v>
      </c>
      <c r="J24" s="42">
        <f>AVERAGE(I24:I33)</f>
        <v>31.6</v>
      </c>
      <c r="K24" s="43">
        <f>STDEV(I24:I33)</f>
        <v>19.21342123505222</v>
      </c>
      <c r="L24" s="43">
        <f>K24/SQRT(M24)</f>
        <v>6.0758172747010386</v>
      </c>
      <c r="M24" s="39">
        <v>10</v>
      </c>
    </row>
    <row r="25" spans="1:13">
      <c r="B25" s="20">
        <v>9236</v>
      </c>
      <c r="C25" s="20" t="s">
        <v>43</v>
      </c>
      <c r="D25" s="41">
        <v>43953</v>
      </c>
      <c r="E25" s="20" t="s">
        <v>35</v>
      </c>
      <c r="F25" s="41">
        <v>44055</v>
      </c>
      <c r="G25" s="20" t="s">
        <v>37</v>
      </c>
      <c r="H25" s="20">
        <v>29.9</v>
      </c>
      <c r="I25" s="39">
        <v>43</v>
      </c>
    </row>
    <row r="26" spans="1:13">
      <c r="B26" s="20">
        <v>9238</v>
      </c>
      <c r="C26" s="20" t="s">
        <v>43</v>
      </c>
      <c r="D26" s="41">
        <v>43953</v>
      </c>
      <c r="E26" s="20" t="s">
        <v>35</v>
      </c>
      <c r="F26" s="41">
        <v>44055</v>
      </c>
      <c r="G26" s="20" t="s">
        <v>37</v>
      </c>
      <c r="H26" s="20">
        <v>27.5</v>
      </c>
      <c r="I26" s="39">
        <v>51</v>
      </c>
    </row>
    <row r="27" spans="1:13">
      <c r="B27" s="20" t="s">
        <v>44</v>
      </c>
      <c r="C27" s="20" t="s">
        <v>43</v>
      </c>
      <c r="D27" s="41">
        <v>44095</v>
      </c>
      <c r="E27" s="20" t="s">
        <v>35</v>
      </c>
      <c r="F27" s="41">
        <v>44181</v>
      </c>
      <c r="G27" s="20" t="s">
        <v>37</v>
      </c>
      <c r="H27" s="20">
        <v>27.8</v>
      </c>
      <c r="I27" s="39">
        <v>0</v>
      </c>
    </row>
    <row r="28" spans="1:13">
      <c r="B28" s="20">
        <v>9618</v>
      </c>
      <c r="C28" s="20" t="s">
        <v>43</v>
      </c>
      <c r="D28" s="41">
        <v>44095</v>
      </c>
      <c r="E28" s="20" t="s">
        <v>35</v>
      </c>
      <c r="F28" s="41">
        <v>44179</v>
      </c>
      <c r="G28" s="20" t="s">
        <v>37</v>
      </c>
      <c r="H28" s="44">
        <v>30</v>
      </c>
      <c r="I28" s="39">
        <v>65</v>
      </c>
    </row>
    <row r="29" spans="1:13">
      <c r="B29" s="20">
        <v>9884</v>
      </c>
      <c r="C29" s="20" t="s">
        <v>43</v>
      </c>
      <c r="D29" s="41">
        <v>44212</v>
      </c>
      <c r="E29" s="20" t="s">
        <v>35</v>
      </c>
      <c r="F29" s="41">
        <v>44298</v>
      </c>
      <c r="G29" s="20">
        <v>12</v>
      </c>
      <c r="H29" s="20">
        <v>27.8</v>
      </c>
      <c r="I29" s="39">
        <v>42</v>
      </c>
    </row>
    <row r="30" spans="1:13">
      <c r="B30" s="20">
        <v>8018</v>
      </c>
      <c r="C30" s="20" t="s">
        <v>43</v>
      </c>
      <c r="D30" s="41">
        <v>44803</v>
      </c>
      <c r="E30" s="20" t="s">
        <v>35</v>
      </c>
      <c r="F30" s="41">
        <v>44900</v>
      </c>
      <c r="G30" s="20" t="s">
        <v>37</v>
      </c>
      <c r="H30" s="20">
        <v>26.6</v>
      </c>
      <c r="I30" s="39">
        <v>25</v>
      </c>
    </row>
    <row r="31" spans="1:13">
      <c r="B31" s="20">
        <v>8019</v>
      </c>
      <c r="C31" s="20" t="s">
        <v>43</v>
      </c>
      <c r="D31" s="41">
        <v>44803</v>
      </c>
      <c r="E31" s="20" t="s">
        <v>35</v>
      </c>
      <c r="F31" s="41">
        <v>44900</v>
      </c>
      <c r="G31" s="20" t="s">
        <v>37</v>
      </c>
      <c r="H31" s="20">
        <v>28.8</v>
      </c>
      <c r="I31" s="39">
        <v>29</v>
      </c>
    </row>
    <row r="32" spans="1:13">
      <c r="B32" s="20">
        <v>8020</v>
      </c>
      <c r="C32" s="30" t="s">
        <v>43</v>
      </c>
      <c r="D32" s="41">
        <v>44803</v>
      </c>
      <c r="E32" s="20" t="s">
        <v>35</v>
      </c>
      <c r="F32" s="41">
        <v>44900</v>
      </c>
      <c r="G32" s="20" t="s">
        <v>37</v>
      </c>
      <c r="H32" s="20">
        <v>27.1</v>
      </c>
      <c r="I32" s="39">
        <v>29</v>
      </c>
    </row>
    <row r="33" spans="2:9">
      <c r="B33" s="20" t="s">
        <v>45</v>
      </c>
      <c r="C33" s="30" t="s">
        <v>43</v>
      </c>
      <c r="D33" s="41">
        <v>44852</v>
      </c>
      <c r="E33" s="20" t="s">
        <v>35</v>
      </c>
      <c r="F33" s="41">
        <v>44938</v>
      </c>
      <c r="G33" s="20" t="s">
        <v>46</v>
      </c>
      <c r="H33" s="20">
        <v>26.6</v>
      </c>
      <c r="I33" s="39">
        <v>11</v>
      </c>
    </row>
    <row r="34" spans="2:9">
      <c r="B34" s="20"/>
      <c r="C34" s="30"/>
      <c r="D34" s="41"/>
    </row>
    <row r="54" spans="3:3">
      <c r="C54" s="4" t="s">
        <v>154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DFD7-9BC6-0146-B8C6-4D405C850E3D}">
  <dimension ref="A1:R73"/>
  <sheetViews>
    <sheetView tabSelected="1" topLeftCell="A6" zoomScale="131" zoomScaleNormal="131" workbookViewId="0">
      <selection activeCell="L55" sqref="L55"/>
    </sheetView>
  </sheetViews>
  <sheetFormatPr baseColWidth="10" defaultRowHeight="16"/>
  <cols>
    <col min="1" max="1" width="27" customWidth="1"/>
    <col min="2" max="2" width="23" customWidth="1"/>
    <col min="3" max="3" width="21.6640625" customWidth="1"/>
    <col min="15" max="16" width="14.33203125" customWidth="1"/>
    <col min="17" max="17" width="14.5" customWidth="1"/>
  </cols>
  <sheetData>
    <row r="1" spans="1:18">
      <c r="A1" s="2" t="s">
        <v>55</v>
      </c>
    </row>
    <row r="3" spans="1:18" ht="21">
      <c r="B3" s="55" t="s">
        <v>56</v>
      </c>
      <c r="C3" s="55"/>
      <c r="D3" s="3"/>
      <c r="E3" s="5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A4" s="72" t="s">
        <v>42</v>
      </c>
      <c r="B4" s="57" t="s">
        <v>24</v>
      </c>
      <c r="C4" s="58" t="s">
        <v>5</v>
      </c>
      <c r="D4" s="58" t="s">
        <v>25</v>
      </c>
      <c r="E4" s="58" t="s">
        <v>26</v>
      </c>
      <c r="F4" s="58" t="s">
        <v>27</v>
      </c>
      <c r="G4" s="58" t="s">
        <v>4</v>
      </c>
      <c r="H4" s="58" t="s">
        <v>29</v>
      </c>
      <c r="I4" s="58" t="s">
        <v>57</v>
      </c>
      <c r="J4" s="58" t="s">
        <v>58</v>
      </c>
      <c r="K4" s="58" t="s">
        <v>59</v>
      </c>
      <c r="L4" s="58" t="s">
        <v>60</v>
      </c>
      <c r="M4" s="58" t="s">
        <v>61</v>
      </c>
      <c r="N4" s="58" t="s">
        <v>62</v>
      </c>
      <c r="O4" s="58" t="s">
        <v>63</v>
      </c>
      <c r="P4" s="58" t="s">
        <v>31</v>
      </c>
      <c r="Q4" s="75" t="s">
        <v>64</v>
      </c>
      <c r="R4" s="57" t="s">
        <v>31</v>
      </c>
    </row>
    <row r="5" spans="1:18">
      <c r="B5" s="59" t="s">
        <v>44</v>
      </c>
      <c r="C5" s="64" t="s">
        <v>13</v>
      </c>
      <c r="D5" s="61">
        <v>44095</v>
      </c>
      <c r="E5" s="60" t="s">
        <v>35</v>
      </c>
      <c r="F5" s="61">
        <v>44179</v>
      </c>
      <c r="G5" s="60" t="s">
        <v>37</v>
      </c>
      <c r="H5" s="60">
        <v>28.1</v>
      </c>
      <c r="I5" s="60">
        <v>148</v>
      </c>
      <c r="J5" s="60">
        <v>63</v>
      </c>
      <c r="K5" s="60">
        <v>64</v>
      </c>
      <c r="L5" s="60">
        <v>93</v>
      </c>
      <c r="M5" s="60">
        <v>99</v>
      </c>
      <c r="N5" s="62">
        <v>93.4</v>
      </c>
      <c r="O5" s="63">
        <v>3.32</v>
      </c>
      <c r="P5" s="63">
        <f>STDEV(O5:O14)</f>
        <v>0.95188934931184799</v>
      </c>
      <c r="Q5" s="76">
        <v>3.52</v>
      </c>
      <c r="R5" s="63">
        <f>STDEV(Q5:Q14)</f>
        <v>0.99916854322870774</v>
      </c>
    </row>
    <row r="6" spans="1:18">
      <c r="B6" s="59">
        <v>9618</v>
      </c>
      <c r="C6" s="64" t="s">
        <v>13</v>
      </c>
      <c r="D6" s="61">
        <v>44095</v>
      </c>
      <c r="E6" s="60" t="s">
        <v>35</v>
      </c>
      <c r="F6" s="61">
        <v>44179</v>
      </c>
      <c r="G6" s="60" t="s">
        <v>37</v>
      </c>
      <c r="H6" s="62">
        <v>30</v>
      </c>
      <c r="I6" s="60">
        <v>145</v>
      </c>
      <c r="J6" s="60">
        <v>28</v>
      </c>
      <c r="K6" s="60">
        <v>40</v>
      </c>
      <c r="L6" s="60">
        <v>21</v>
      </c>
      <c r="M6" s="60">
        <v>26</v>
      </c>
      <c r="N6" s="62">
        <v>52</v>
      </c>
      <c r="O6" s="63">
        <v>1.73</v>
      </c>
      <c r="P6" s="63"/>
      <c r="Q6" s="76">
        <v>0.87</v>
      </c>
      <c r="R6" s="78"/>
    </row>
    <row r="7" spans="1:18">
      <c r="B7" s="59">
        <v>9234</v>
      </c>
      <c r="C7" s="64" t="s">
        <v>13</v>
      </c>
      <c r="D7" s="61">
        <v>43955</v>
      </c>
      <c r="E7" s="60" t="s">
        <v>35</v>
      </c>
      <c r="F7" s="61">
        <v>44055</v>
      </c>
      <c r="G7" s="60" t="s">
        <v>37</v>
      </c>
      <c r="H7" s="60">
        <v>29.9</v>
      </c>
      <c r="I7" s="60">
        <v>143</v>
      </c>
      <c r="J7" s="60">
        <v>45</v>
      </c>
      <c r="K7" s="60">
        <v>24</v>
      </c>
      <c r="L7" s="60">
        <v>6</v>
      </c>
      <c r="M7" s="60">
        <v>12</v>
      </c>
      <c r="N7" s="62">
        <v>46</v>
      </c>
      <c r="O7" s="63">
        <v>1.54</v>
      </c>
      <c r="P7" s="63"/>
      <c r="Q7" s="76">
        <v>0.4</v>
      </c>
      <c r="R7" s="78"/>
    </row>
    <row r="8" spans="1:18">
      <c r="B8" s="59">
        <v>9236</v>
      </c>
      <c r="C8" s="64" t="s">
        <v>13</v>
      </c>
      <c r="D8" s="61">
        <v>43953</v>
      </c>
      <c r="E8" s="60" t="s">
        <v>35</v>
      </c>
      <c r="F8" s="61">
        <v>44055</v>
      </c>
      <c r="G8" s="60" t="s">
        <v>37</v>
      </c>
      <c r="H8" s="60">
        <v>29.9</v>
      </c>
      <c r="I8" s="60">
        <v>41</v>
      </c>
      <c r="J8" s="60">
        <v>10</v>
      </c>
      <c r="K8" s="60">
        <v>26</v>
      </c>
      <c r="L8" s="60">
        <v>27</v>
      </c>
      <c r="M8" s="60">
        <v>10</v>
      </c>
      <c r="N8" s="62">
        <v>22.8</v>
      </c>
      <c r="O8" s="63">
        <v>0.76</v>
      </c>
      <c r="P8" s="63"/>
      <c r="Q8" s="76">
        <v>0.33</v>
      </c>
      <c r="R8" s="78"/>
    </row>
    <row r="9" spans="1:18">
      <c r="B9" s="59">
        <v>9238</v>
      </c>
      <c r="C9" s="64" t="s">
        <v>13</v>
      </c>
      <c r="D9" s="61">
        <v>43953</v>
      </c>
      <c r="E9" s="60" t="s">
        <v>35</v>
      </c>
      <c r="F9" s="61">
        <v>44055</v>
      </c>
      <c r="G9" s="60" t="s">
        <v>37</v>
      </c>
      <c r="H9" s="60">
        <v>27.5</v>
      </c>
      <c r="I9" s="60">
        <v>20</v>
      </c>
      <c r="J9" s="60">
        <v>38</v>
      </c>
      <c r="K9" s="60">
        <v>10</v>
      </c>
      <c r="L9" s="60">
        <v>9</v>
      </c>
      <c r="M9" s="60">
        <v>5</v>
      </c>
      <c r="N9" s="62">
        <v>16.399999999999999</v>
      </c>
      <c r="O9" s="63">
        <v>0.6</v>
      </c>
      <c r="P9" s="63"/>
      <c r="Q9" s="76">
        <v>0.18</v>
      </c>
      <c r="R9" s="78"/>
    </row>
    <row r="10" spans="1:18">
      <c r="B10" s="59">
        <v>9884</v>
      </c>
      <c r="C10" s="64" t="s">
        <v>13</v>
      </c>
      <c r="D10" s="61">
        <v>44212</v>
      </c>
      <c r="E10" s="60" t="s">
        <v>35</v>
      </c>
      <c r="F10" s="61">
        <v>44298</v>
      </c>
      <c r="G10" s="60" t="s">
        <v>37</v>
      </c>
      <c r="H10" s="60">
        <v>30.3</v>
      </c>
      <c r="I10" s="60">
        <v>134</v>
      </c>
      <c r="J10" s="60">
        <v>47</v>
      </c>
      <c r="K10" s="60">
        <v>32</v>
      </c>
      <c r="L10" s="60">
        <v>55</v>
      </c>
      <c r="M10" s="60">
        <v>21</v>
      </c>
      <c r="N10" s="62">
        <v>57.8</v>
      </c>
      <c r="O10" s="63">
        <v>1.91</v>
      </c>
      <c r="P10" s="63"/>
      <c r="Q10" s="76">
        <v>0.69</v>
      </c>
      <c r="R10" s="78"/>
    </row>
    <row r="11" spans="1:18">
      <c r="B11" s="59">
        <v>8018</v>
      </c>
      <c r="C11" s="64" t="s">
        <v>13</v>
      </c>
      <c r="D11" s="65">
        <v>44803</v>
      </c>
      <c r="E11" s="60" t="s">
        <v>35</v>
      </c>
      <c r="F11" s="61">
        <v>44900</v>
      </c>
      <c r="G11" s="60" t="s">
        <v>37</v>
      </c>
      <c r="H11" s="60">
        <v>26.6</v>
      </c>
      <c r="I11" s="60">
        <v>83</v>
      </c>
      <c r="J11" s="60">
        <v>12</v>
      </c>
      <c r="K11" s="60">
        <v>18</v>
      </c>
      <c r="L11" s="60">
        <v>9</v>
      </c>
      <c r="M11" s="60">
        <v>14</v>
      </c>
      <c r="N11" s="62">
        <v>27.2</v>
      </c>
      <c r="O11" s="63">
        <v>1.02</v>
      </c>
      <c r="P11" s="63"/>
      <c r="Q11" s="76">
        <v>0.53</v>
      </c>
      <c r="R11" s="78"/>
    </row>
    <row r="12" spans="1:18">
      <c r="B12" s="59">
        <v>8019</v>
      </c>
      <c r="C12" s="66" t="s">
        <v>13</v>
      </c>
      <c r="D12" s="65">
        <v>44803</v>
      </c>
      <c r="E12" s="60" t="s">
        <v>35</v>
      </c>
      <c r="F12" s="61">
        <v>44900</v>
      </c>
      <c r="G12" s="60" t="s">
        <v>37</v>
      </c>
      <c r="H12" s="60">
        <v>28.8</v>
      </c>
      <c r="I12" s="60">
        <v>32</v>
      </c>
      <c r="J12" s="60">
        <v>6</v>
      </c>
      <c r="K12" s="60">
        <v>8</v>
      </c>
      <c r="L12" s="60">
        <v>15</v>
      </c>
      <c r="M12" s="60">
        <v>9</v>
      </c>
      <c r="N12" s="62">
        <v>14</v>
      </c>
      <c r="O12" s="63">
        <v>0.49</v>
      </c>
      <c r="P12" s="63"/>
      <c r="Q12" s="76">
        <v>0.31</v>
      </c>
      <c r="R12" s="78"/>
    </row>
    <row r="13" spans="1:18">
      <c r="B13" s="59">
        <v>8020</v>
      </c>
      <c r="C13" s="66" t="s">
        <v>13</v>
      </c>
      <c r="D13" s="65">
        <v>44803</v>
      </c>
      <c r="E13" s="60" t="s">
        <v>35</v>
      </c>
      <c r="F13" s="61">
        <v>44900</v>
      </c>
      <c r="G13" s="60" t="s">
        <v>37</v>
      </c>
      <c r="H13" s="60">
        <v>27.1</v>
      </c>
      <c r="I13" s="60">
        <v>24</v>
      </c>
      <c r="J13" s="60">
        <v>12</v>
      </c>
      <c r="K13" s="60">
        <v>5</v>
      </c>
      <c r="L13" s="60">
        <v>12</v>
      </c>
      <c r="M13" s="60">
        <v>5</v>
      </c>
      <c r="N13" s="62">
        <v>11.6</v>
      </c>
      <c r="O13" s="63">
        <v>0.43</v>
      </c>
      <c r="P13" s="63"/>
      <c r="Q13" s="76">
        <v>0.18</v>
      </c>
      <c r="R13" s="78"/>
    </row>
    <row r="14" spans="1:18">
      <c r="B14" s="67" t="s">
        <v>45</v>
      </c>
      <c r="C14" s="68" t="s">
        <v>13</v>
      </c>
      <c r="D14" s="69">
        <v>44852</v>
      </c>
      <c r="E14" s="67" t="s">
        <v>35</v>
      </c>
      <c r="F14" s="69">
        <v>44938</v>
      </c>
      <c r="G14" s="67" t="s">
        <v>46</v>
      </c>
      <c r="H14" s="67">
        <v>26.6</v>
      </c>
      <c r="I14" s="67">
        <v>110</v>
      </c>
      <c r="J14" s="67">
        <v>80</v>
      </c>
      <c r="K14" s="67">
        <v>69</v>
      </c>
      <c r="L14" s="67">
        <v>38</v>
      </c>
      <c r="M14" s="67">
        <v>30</v>
      </c>
      <c r="N14" s="70">
        <v>65.400000000000006</v>
      </c>
      <c r="O14" s="71">
        <v>2.46</v>
      </c>
      <c r="P14" s="71"/>
      <c r="Q14" s="77">
        <v>1.1299999999999999</v>
      </c>
      <c r="R14" s="78"/>
    </row>
    <row r="15" spans="1:18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9">
        <f>AVERAGE(O1:O14)</f>
        <v>1.4259999999999997</v>
      </c>
      <c r="P15" s="3"/>
      <c r="Q15" s="3"/>
    </row>
    <row r="16" spans="1:18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8">
      <c r="A17" s="1" t="s">
        <v>66</v>
      </c>
      <c r="B17" s="57" t="s">
        <v>24</v>
      </c>
      <c r="C17" s="58" t="s">
        <v>5</v>
      </c>
      <c r="D17" s="58" t="s">
        <v>25</v>
      </c>
      <c r="E17" s="58" t="s">
        <v>26</v>
      </c>
      <c r="F17" s="58" t="s">
        <v>27</v>
      </c>
      <c r="G17" s="58" t="s">
        <v>4</v>
      </c>
      <c r="H17" s="58" t="s">
        <v>29</v>
      </c>
      <c r="I17" s="58" t="s">
        <v>57</v>
      </c>
      <c r="J17" s="58" t="s">
        <v>58</v>
      </c>
      <c r="K17" s="58" t="s">
        <v>59</v>
      </c>
      <c r="L17" s="58" t="s">
        <v>60</v>
      </c>
      <c r="M17" s="58" t="s">
        <v>61</v>
      </c>
      <c r="N17" s="58" t="s">
        <v>62</v>
      </c>
      <c r="O17" s="58" t="s">
        <v>63</v>
      </c>
      <c r="P17" s="58" t="s">
        <v>31</v>
      </c>
      <c r="Q17" s="75" t="s">
        <v>64</v>
      </c>
      <c r="R17" s="80" t="s">
        <v>31</v>
      </c>
    </row>
    <row r="18" spans="1:18">
      <c r="B18" s="59">
        <v>7605</v>
      </c>
      <c r="C18" s="60" t="s">
        <v>65</v>
      </c>
      <c r="D18" s="61">
        <v>43527</v>
      </c>
      <c r="E18" s="60" t="s">
        <v>35</v>
      </c>
      <c r="F18" s="61">
        <v>43616</v>
      </c>
      <c r="G18" s="60" t="s">
        <v>37</v>
      </c>
      <c r="H18" s="60">
        <v>30.4</v>
      </c>
      <c r="I18" s="60">
        <v>79</v>
      </c>
      <c r="J18" s="60">
        <v>24</v>
      </c>
      <c r="K18" s="60">
        <v>15</v>
      </c>
      <c r="L18" s="60">
        <v>11</v>
      </c>
      <c r="M18" s="60">
        <v>12</v>
      </c>
      <c r="N18" s="60">
        <v>28.2</v>
      </c>
      <c r="O18" s="63">
        <v>0.93</v>
      </c>
      <c r="P18" s="63">
        <f>STDEV(O18:O27)</f>
        <v>0.67496501966974343</v>
      </c>
      <c r="Q18" s="76">
        <v>0.39</v>
      </c>
      <c r="R18" s="63">
        <f>STDEV(Q18:Q27)</f>
        <v>0.59611706531146713</v>
      </c>
    </row>
    <row r="19" spans="1:18">
      <c r="B19" s="59">
        <v>7731</v>
      </c>
      <c r="C19" s="60" t="s">
        <v>65</v>
      </c>
      <c r="D19" s="61">
        <v>43559</v>
      </c>
      <c r="E19" s="60" t="s">
        <v>35</v>
      </c>
      <c r="F19" s="61">
        <v>43648</v>
      </c>
      <c r="G19" s="60" t="s">
        <v>37</v>
      </c>
      <c r="H19" s="60">
        <v>28.5</v>
      </c>
      <c r="I19" s="60">
        <v>118</v>
      </c>
      <c r="J19" s="60">
        <v>68</v>
      </c>
      <c r="K19" s="60">
        <v>110</v>
      </c>
      <c r="L19" s="60">
        <v>44</v>
      </c>
      <c r="M19" s="60">
        <v>52</v>
      </c>
      <c r="N19" s="60">
        <v>78.400000000000006</v>
      </c>
      <c r="O19" s="63">
        <v>2.75</v>
      </c>
      <c r="P19" s="63"/>
      <c r="Q19" s="76">
        <v>1.82</v>
      </c>
      <c r="R19" s="78"/>
    </row>
    <row r="20" spans="1:18">
      <c r="B20" s="59">
        <v>7733</v>
      </c>
      <c r="C20" s="60" t="s">
        <v>65</v>
      </c>
      <c r="D20" s="61">
        <v>43559</v>
      </c>
      <c r="E20" s="60" t="s">
        <v>35</v>
      </c>
      <c r="F20" s="61">
        <v>43648</v>
      </c>
      <c r="G20" s="60" t="s">
        <v>37</v>
      </c>
      <c r="H20" s="60">
        <v>22.6</v>
      </c>
      <c r="I20" s="60">
        <v>94</v>
      </c>
      <c r="J20" s="60">
        <v>11</v>
      </c>
      <c r="K20" s="60">
        <v>11</v>
      </c>
      <c r="L20" s="60">
        <v>15</v>
      </c>
      <c r="M20" s="60">
        <v>13</v>
      </c>
      <c r="N20" s="60">
        <v>28.8</v>
      </c>
      <c r="O20" s="63">
        <v>1.27</v>
      </c>
      <c r="P20" s="63"/>
      <c r="Q20" s="76">
        <v>0.57999999999999996</v>
      </c>
      <c r="R20" s="78"/>
    </row>
    <row r="21" spans="1:18">
      <c r="B21" s="59">
        <v>7734</v>
      </c>
      <c r="C21" s="60" t="s">
        <v>65</v>
      </c>
      <c r="D21" s="61">
        <v>43559</v>
      </c>
      <c r="E21" s="60" t="s">
        <v>35</v>
      </c>
      <c r="F21" s="61">
        <v>43648</v>
      </c>
      <c r="G21" s="60" t="s">
        <v>37</v>
      </c>
      <c r="H21" s="62">
        <v>21</v>
      </c>
      <c r="I21" s="60">
        <v>92</v>
      </c>
      <c r="J21" s="60">
        <v>18</v>
      </c>
      <c r="K21" s="60">
        <v>12</v>
      </c>
      <c r="L21" s="60">
        <v>17</v>
      </c>
      <c r="M21" s="60">
        <v>38</v>
      </c>
      <c r="N21" s="60">
        <v>35.4</v>
      </c>
      <c r="O21" s="63">
        <v>1.69</v>
      </c>
      <c r="P21" s="63"/>
      <c r="Q21" s="76">
        <v>1.81</v>
      </c>
      <c r="R21" s="78"/>
    </row>
    <row r="22" spans="1:18">
      <c r="B22" s="59">
        <v>7994</v>
      </c>
      <c r="C22" s="60" t="s">
        <v>65</v>
      </c>
      <c r="D22" s="61">
        <v>43608</v>
      </c>
      <c r="E22" s="60" t="s">
        <v>35</v>
      </c>
      <c r="F22" s="61">
        <v>43696</v>
      </c>
      <c r="G22" s="60" t="s">
        <v>37</v>
      </c>
      <c r="H22" s="60">
        <v>28.9</v>
      </c>
      <c r="I22" s="60">
        <v>82</v>
      </c>
      <c r="J22" s="60">
        <v>55</v>
      </c>
      <c r="K22" s="60">
        <v>27</v>
      </c>
      <c r="L22" s="60">
        <v>19</v>
      </c>
      <c r="M22" s="60">
        <v>15</v>
      </c>
      <c r="N22" s="60">
        <v>39.6</v>
      </c>
      <c r="O22" s="63">
        <v>1.37</v>
      </c>
      <c r="P22" s="63"/>
      <c r="Q22" s="76">
        <v>0.52</v>
      </c>
      <c r="R22" s="78"/>
    </row>
    <row r="23" spans="1:18">
      <c r="B23" s="59">
        <v>7995</v>
      </c>
      <c r="C23" s="60" t="s">
        <v>65</v>
      </c>
      <c r="D23" s="61">
        <v>43608</v>
      </c>
      <c r="E23" s="60" t="s">
        <v>35</v>
      </c>
      <c r="F23" s="61">
        <v>43696</v>
      </c>
      <c r="G23" s="60" t="s">
        <v>37</v>
      </c>
      <c r="H23" s="62">
        <v>33</v>
      </c>
      <c r="I23" s="60">
        <v>68</v>
      </c>
      <c r="J23" s="60">
        <v>35</v>
      </c>
      <c r="K23" s="60">
        <v>31</v>
      </c>
      <c r="L23" s="60">
        <v>25</v>
      </c>
      <c r="M23" s="60">
        <v>22</v>
      </c>
      <c r="N23" s="60">
        <v>36.200000000000003</v>
      </c>
      <c r="O23" s="63">
        <v>1.1000000000000001</v>
      </c>
      <c r="P23" s="63"/>
      <c r="Q23" s="76">
        <v>0.67</v>
      </c>
      <c r="R23" s="78"/>
    </row>
    <row r="24" spans="1:18">
      <c r="B24" s="59">
        <v>7998</v>
      </c>
      <c r="C24" s="60" t="s">
        <v>65</v>
      </c>
      <c r="D24" s="61">
        <v>43608</v>
      </c>
      <c r="E24" s="60" t="s">
        <v>35</v>
      </c>
      <c r="F24" s="61">
        <v>43696</v>
      </c>
      <c r="G24" s="60" t="s">
        <v>37</v>
      </c>
      <c r="H24" s="60">
        <v>28.3</v>
      </c>
      <c r="I24" s="60">
        <v>153</v>
      </c>
      <c r="J24" s="60">
        <v>35</v>
      </c>
      <c r="K24" s="60">
        <v>43</v>
      </c>
      <c r="L24" s="60">
        <v>55</v>
      </c>
      <c r="M24" s="60">
        <v>42</v>
      </c>
      <c r="N24" s="60">
        <v>65.599999999999994</v>
      </c>
      <c r="O24" s="63">
        <v>2.3199999999999998</v>
      </c>
      <c r="P24" s="63"/>
      <c r="Q24" s="76">
        <v>1.48</v>
      </c>
      <c r="R24" s="78"/>
    </row>
    <row r="25" spans="1:18">
      <c r="B25" s="59">
        <v>9616</v>
      </c>
      <c r="C25" s="60" t="s">
        <v>65</v>
      </c>
      <c r="D25" s="61">
        <v>44095</v>
      </c>
      <c r="E25" s="60" t="s">
        <v>35</v>
      </c>
      <c r="F25" s="61">
        <v>44179</v>
      </c>
      <c r="G25" s="60" t="s">
        <v>37</v>
      </c>
      <c r="H25" s="60">
        <v>26.9</v>
      </c>
      <c r="I25" s="60">
        <v>176</v>
      </c>
      <c r="J25" s="60">
        <v>68</v>
      </c>
      <c r="K25" s="60">
        <v>42</v>
      </c>
      <c r="L25" s="60">
        <v>46</v>
      </c>
      <c r="M25" s="60">
        <v>43</v>
      </c>
      <c r="N25" s="62">
        <v>75</v>
      </c>
      <c r="O25" s="63">
        <v>2.79</v>
      </c>
      <c r="P25" s="63"/>
      <c r="Q25" s="76">
        <v>1.6</v>
      </c>
      <c r="R25" s="78"/>
    </row>
    <row r="26" spans="1:18">
      <c r="B26" s="59">
        <v>9619</v>
      </c>
      <c r="C26" s="60" t="s">
        <v>65</v>
      </c>
      <c r="D26" s="61">
        <v>44095</v>
      </c>
      <c r="E26" s="60" t="s">
        <v>35</v>
      </c>
      <c r="F26" s="61">
        <v>44179</v>
      </c>
      <c r="G26" s="60" t="s">
        <v>37</v>
      </c>
      <c r="H26" s="62">
        <v>30.1</v>
      </c>
      <c r="I26" s="60">
        <v>179</v>
      </c>
      <c r="J26" s="60">
        <v>34</v>
      </c>
      <c r="K26" s="60">
        <v>36</v>
      </c>
      <c r="L26" s="60">
        <v>27</v>
      </c>
      <c r="M26" s="60">
        <v>32</v>
      </c>
      <c r="N26" s="62">
        <v>61.6</v>
      </c>
      <c r="O26" s="63">
        <v>2.0499999999999998</v>
      </c>
      <c r="P26" s="63"/>
      <c r="Q26" s="76">
        <v>1.06</v>
      </c>
      <c r="R26" s="78"/>
    </row>
    <row r="27" spans="1:18">
      <c r="B27" s="59">
        <v>9882</v>
      </c>
      <c r="C27" s="60" t="s">
        <v>65</v>
      </c>
      <c r="D27" s="61">
        <v>44212</v>
      </c>
      <c r="E27" s="60" t="s">
        <v>35</v>
      </c>
      <c r="F27" s="61">
        <v>44298</v>
      </c>
      <c r="G27" s="60" t="s">
        <v>37</v>
      </c>
      <c r="H27" s="60">
        <v>29.7</v>
      </c>
      <c r="I27" s="60">
        <v>246</v>
      </c>
      <c r="J27" s="60">
        <v>29</v>
      </c>
      <c r="K27" s="60">
        <v>17</v>
      </c>
      <c r="L27" s="60">
        <v>28</v>
      </c>
      <c r="M27" s="60">
        <v>11</v>
      </c>
      <c r="N27" s="62">
        <v>66.2</v>
      </c>
      <c r="O27" s="63">
        <v>2.23</v>
      </c>
      <c r="P27" s="63"/>
      <c r="Q27" s="76">
        <v>0.37</v>
      </c>
      <c r="R27" s="78"/>
    </row>
    <row r="28" spans="1:18">
      <c r="B28" s="59">
        <v>9885</v>
      </c>
      <c r="C28" s="60" t="s">
        <v>65</v>
      </c>
      <c r="D28" s="61">
        <v>44212</v>
      </c>
      <c r="E28" s="60" t="s">
        <v>35</v>
      </c>
      <c r="F28" s="61">
        <v>44298</v>
      </c>
      <c r="G28" s="60" t="s">
        <v>37</v>
      </c>
      <c r="H28" s="60">
        <v>27.8</v>
      </c>
      <c r="I28" s="60">
        <v>118</v>
      </c>
      <c r="J28" s="60">
        <v>70</v>
      </c>
      <c r="K28" s="60">
        <v>300</v>
      </c>
      <c r="L28" s="60">
        <v>100</v>
      </c>
      <c r="M28" s="60">
        <v>292</v>
      </c>
      <c r="N28" s="62">
        <v>176</v>
      </c>
      <c r="O28" s="63">
        <v>6.33</v>
      </c>
      <c r="P28" s="63"/>
      <c r="Q28" s="76">
        <v>10.5</v>
      </c>
      <c r="R28" s="78"/>
    </row>
    <row r="29" spans="1:18">
      <c r="B29" s="59" t="s">
        <v>38</v>
      </c>
      <c r="C29" s="60" t="s">
        <v>65</v>
      </c>
      <c r="D29" s="69">
        <v>44862</v>
      </c>
      <c r="E29" s="67" t="s">
        <v>35</v>
      </c>
      <c r="F29" s="69">
        <v>44949</v>
      </c>
      <c r="G29" s="59" t="s">
        <v>37</v>
      </c>
      <c r="H29" s="60">
        <v>28.3</v>
      </c>
      <c r="I29" s="60">
        <v>262</v>
      </c>
      <c r="J29" s="60">
        <v>131</v>
      </c>
      <c r="K29" s="60">
        <v>85</v>
      </c>
      <c r="L29" s="60">
        <v>35</v>
      </c>
      <c r="M29" s="60">
        <v>40</v>
      </c>
      <c r="N29" s="67">
        <v>110.6</v>
      </c>
      <c r="O29" s="71">
        <v>3.91</v>
      </c>
      <c r="P29" s="71"/>
      <c r="Q29" s="77">
        <v>1.41</v>
      </c>
      <c r="R29" s="78"/>
    </row>
    <row r="30" spans="1:18">
      <c r="B30" s="59" t="s">
        <v>39</v>
      </c>
      <c r="C30" s="60" t="s">
        <v>65</v>
      </c>
      <c r="D30" s="69">
        <v>44919</v>
      </c>
      <c r="E30" s="67" t="s">
        <v>35</v>
      </c>
      <c r="F30" s="69">
        <v>45005</v>
      </c>
      <c r="G30" s="59" t="s">
        <v>37</v>
      </c>
      <c r="H30" s="67">
        <v>30.3</v>
      </c>
      <c r="I30" s="67">
        <v>108</v>
      </c>
      <c r="J30" s="59">
        <v>23</v>
      </c>
      <c r="K30" s="60">
        <v>21</v>
      </c>
      <c r="L30" s="60">
        <v>17</v>
      </c>
      <c r="M30" s="60">
        <v>24</v>
      </c>
      <c r="N30" s="67">
        <v>38.6</v>
      </c>
      <c r="O30" s="71">
        <v>1.27</v>
      </c>
      <c r="P30" s="71"/>
      <c r="Q30" s="77">
        <v>0.79</v>
      </c>
      <c r="R30" s="78"/>
    </row>
    <row r="31" spans="1:18">
      <c r="B31" s="59" t="s">
        <v>40</v>
      </c>
      <c r="C31" s="60" t="s">
        <v>65</v>
      </c>
      <c r="D31" s="61">
        <v>44943</v>
      </c>
      <c r="E31" s="60" t="s">
        <v>35</v>
      </c>
      <c r="F31" s="61">
        <v>45022</v>
      </c>
      <c r="G31" s="60" t="s">
        <v>37</v>
      </c>
      <c r="H31" s="60">
        <v>29.6</v>
      </c>
      <c r="I31" s="60">
        <v>155</v>
      </c>
      <c r="J31" s="60">
        <v>102</v>
      </c>
      <c r="K31" s="60">
        <v>70</v>
      </c>
      <c r="L31" s="60">
        <v>95</v>
      </c>
      <c r="M31" s="60">
        <v>60</v>
      </c>
      <c r="N31" s="60">
        <v>96.4</v>
      </c>
      <c r="O31" s="63">
        <v>3.26</v>
      </c>
      <c r="P31" s="63"/>
      <c r="Q31" s="76">
        <v>2.0299999999999998</v>
      </c>
      <c r="R31" s="78"/>
    </row>
    <row r="32" spans="1:18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79">
        <f>AVERAGE(O18:O31)</f>
        <v>2.3764285714285718</v>
      </c>
      <c r="P32" s="3"/>
      <c r="Q32" s="3"/>
    </row>
    <row r="33" spans="2:17">
      <c r="B33" s="85" t="s">
        <v>155</v>
      </c>
      <c r="C33" s="8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>
      <c r="B34" s="81"/>
      <c r="C34" s="82"/>
    </row>
    <row r="35" spans="2:17">
      <c r="B35" s="81" t="s">
        <v>68</v>
      </c>
      <c r="C35" s="82" t="s">
        <v>69</v>
      </c>
    </row>
    <row r="36" spans="2:17">
      <c r="B36" s="81" t="s">
        <v>70</v>
      </c>
      <c r="C36" s="82" t="s">
        <v>70</v>
      </c>
    </row>
    <row r="37" spans="2:17">
      <c r="B37" s="81" t="s">
        <v>71</v>
      </c>
      <c r="C37" s="82" t="s">
        <v>72</v>
      </c>
    </row>
    <row r="38" spans="2:17">
      <c r="B38" s="81"/>
      <c r="C38" s="82"/>
    </row>
    <row r="39" spans="2:17">
      <c r="B39" s="81" t="s">
        <v>73</v>
      </c>
      <c r="C39" s="82"/>
    </row>
    <row r="40" spans="2:17">
      <c r="B40" s="81" t="s">
        <v>74</v>
      </c>
      <c r="C40" s="82">
        <v>4.7199999999999999E-2</v>
      </c>
    </row>
    <row r="41" spans="2:17">
      <c r="B41" s="81" t="s">
        <v>75</v>
      </c>
      <c r="C41" s="82" t="s">
        <v>76</v>
      </c>
    </row>
    <row r="42" spans="2:17">
      <c r="B42" s="81" t="s">
        <v>77</v>
      </c>
      <c r="C42" s="82" t="s">
        <v>78</v>
      </c>
    </row>
    <row r="43" spans="2:17">
      <c r="B43" s="81" t="s">
        <v>79</v>
      </c>
      <c r="C43" s="82" t="s">
        <v>80</v>
      </c>
    </row>
    <row r="44" spans="2:17">
      <c r="B44" s="81" t="s">
        <v>81</v>
      </c>
      <c r="C44" s="82" t="s">
        <v>82</v>
      </c>
    </row>
    <row r="45" spans="2:17">
      <c r="B45" s="81" t="s">
        <v>83</v>
      </c>
      <c r="C45" s="82" t="s">
        <v>84</v>
      </c>
    </row>
    <row r="46" spans="2:17">
      <c r="B46" s="81" t="s">
        <v>85</v>
      </c>
      <c r="C46" s="82">
        <v>36</v>
      </c>
    </row>
    <row r="47" spans="2:17">
      <c r="B47" s="81"/>
      <c r="C47" s="82"/>
    </row>
    <row r="48" spans="2:17">
      <c r="B48" s="81" t="s">
        <v>86</v>
      </c>
      <c r="C48" s="82"/>
    </row>
    <row r="49" spans="2:3">
      <c r="B49" s="81" t="s">
        <v>87</v>
      </c>
      <c r="C49" s="82" t="s">
        <v>88</v>
      </c>
    </row>
    <row r="50" spans="2:3">
      <c r="B50" s="81" t="s">
        <v>89</v>
      </c>
      <c r="C50" s="82" t="s">
        <v>90</v>
      </c>
    </row>
    <row r="51" spans="2:3">
      <c r="B51" s="81" t="s">
        <v>91</v>
      </c>
      <c r="C51" s="82">
        <v>0.77</v>
      </c>
    </row>
    <row r="52" spans="2:3">
      <c r="B52" s="83" t="s">
        <v>92</v>
      </c>
      <c r="C52" s="84">
        <v>0.49</v>
      </c>
    </row>
    <row r="54" spans="2:3">
      <c r="B54" s="85" t="s">
        <v>156</v>
      </c>
      <c r="C54" s="86"/>
    </row>
    <row r="55" spans="2:3">
      <c r="B55" s="81"/>
      <c r="C55" s="82"/>
    </row>
    <row r="56" spans="2:3">
      <c r="B56" s="81" t="s">
        <v>68</v>
      </c>
      <c r="C56" s="82" t="s">
        <v>69</v>
      </c>
    </row>
    <row r="57" spans="2:3">
      <c r="B57" s="81" t="s">
        <v>70</v>
      </c>
      <c r="C57" s="82" t="s">
        <v>70</v>
      </c>
    </row>
    <row r="58" spans="2:3">
      <c r="B58" s="81" t="s">
        <v>71</v>
      </c>
      <c r="C58" s="82" t="s">
        <v>72</v>
      </c>
    </row>
    <row r="59" spans="2:3">
      <c r="B59" s="81"/>
      <c r="C59" s="82"/>
    </row>
    <row r="60" spans="2:3">
      <c r="B60" s="81" t="s">
        <v>73</v>
      </c>
      <c r="C60" s="82"/>
    </row>
    <row r="61" spans="2:3">
      <c r="B61" s="81" t="s">
        <v>74</v>
      </c>
      <c r="C61" s="82">
        <v>7.1300000000000002E-2</v>
      </c>
    </row>
    <row r="62" spans="2:3">
      <c r="B62" s="81" t="s">
        <v>75</v>
      </c>
      <c r="C62" s="82" t="s">
        <v>76</v>
      </c>
    </row>
    <row r="63" spans="2:3">
      <c r="B63" s="81" t="s">
        <v>77</v>
      </c>
      <c r="C63" s="82" t="s">
        <v>93</v>
      </c>
    </row>
    <row r="64" spans="2:3">
      <c r="B64" s="81" t="s">
        <v>79</v>
      </c>
      <c r="C64" s="82" t="s">
        <v>94</v>
      </c>
    </row>
    <row r="65" spans="2:3">
      <c r="B65" s="81" t="s">
        <v>81</v>
      </c>
      <c r="C65" s="82" t="s">
        <v>82</v>
      </c>
    </row>
    <row r="66" spans="2:3">
      <c r="B66" s="81" t="s">
        <v>83</v>
      </c>
      <c r="C66" s="82" t="s">
        <v>95</v>
      </c>
    </row>
    <row r="67" spans="2:3">
      <c r="B67" s="81" t="s">
        <v>85</v>
      </c>
      <c r="C67" s="82">
        <v>39</v>
      </c>
    </row>
    <row r="68" spans="2:3">
      <c r="B68" s="81"/>
      <c r="C68" s="82"/>
    </row>
    <row r="69" spans="2:3">
      <c r="B69" s="81" t="s">
        <v>86</v>
      </c>
      <c r="C69" s="82"/>
    </row>
    <row r="70" spans="2:3">
      <c r="B70" s="81" t="s">
        <v>87</v>
      </c>
      <c r="C70" s="82" t="s">
        <v>96</v>
      </c>
    </row>
    <row r="71" spans="2:3">
      <c r="B71" s="81" t="s">
        <v>89</v>
      </c>
      <c r="C71" s="82" t="s">
        <v>97</v>
      </c>
    </row>
    <row r="72" spans="2:3">
      <c r="B72" s="81" t="s">
        <v>91</v>
      </c>
      <c r="C72" s="82">
        <v>0.86</v>
      </c>
    </row>
    <row r="73" spans="2:3">
      <c r="B73" s="83" t="s">
        <v>92</v>
      </c>
      <c r="C73" s="84">
        <v>0.77500000000000002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F813-993D-7542-A033-39B2D85EAD9A}">
  <dimension ref="A3:F13"/>
  <sheetViews>
    <sheetView workbookViewId="0">
      <selection activeCell="I27" sqref="I27"/>
    </sheetView>
  </sheetViews>
  <sheetFormatPr baseColWidth="10" defaultRowHeight="16"/>
  <cols>
    <col min="1" max="1" width="14.83203125" bestFit="1" customWidth="1"/>
  </cols>
  <sheetData>
    <row r="3" spans="1:6">
      <c r="A3" s="179"/>
      <c r="B3" s="180"/>
      <c r="C3" s="177" t="s">
        <v>99</v>
      </c>
      <c r="D3" s="178"/>
      <c r="E3" s="177" t="s">
        <v>100</v>
      </c>
      <c r="F3" s="178"/>
    </row>
    <row r="4" spans="1:6">
      <c r="A4" s="89" t="s">
        <v>121</v>
      </c>
      <c r="B4" s="90" t="s">
        <v>103</v>
      </c>
      <c r="C4" s="90" t="s">
        <v>102</v>
      </c>
      <c r="D4" s="90" t="s">
        <v>50</v>
      </c>
      <c r="E4" s="90" t="s">
        <v>102</v>
      </c>
      <c r="F4" s="90" t="s">
        <v>50</v>
      </c>
    </row>
    <row r="5" spans="1:6">
      <c r="A5" s="78" t="s">
        <v>113</v>
      </c>
      <c r="B5" s="78">
        <v>0</v>
      </c>
      <c r="C5" s="78">
        <v>204</v>
      </c>
      <c r="D5" s="78">
        <v>1096</v>
      </c>
      <c r="E5" s="78">
        <f>(C5/969)*100</f>
        <v>21.052631578947366</v>
      </c>
      <c r="F5" s="78">
        <f>(D5/4028)*100</f>
        <v>27.209533267130087</v>
      </c>
    </row>
    <row r="6" spans="1:6">
      <c r="A6" s="78" t="s">
        <v>114</v>
      </c>
      <c r="B6" s="78">
        <v>1</v>
      </c>
      <c r="C6" s="78">
        <v>190</v>
      </c>
      <c r="D6" s="78">
        <v>787</v>
      </c>
      <c r="E6" s="78">
        <f t="shared" ref="E6:E13" si="0">(C6/969)*100</f>
        <v>19.607843137254903</v>
      </c>
      <c r="F6" s="78">
        <f>(D6/4028)*100</f>
        <v>19.538232373386297</v>
      </c>
    </row>
    <row r="7" spans="1:6">
      <c r="A7" s="78" t="s">
        <v>115</v>
      </c>
      <c r="B7" s="78">
        <v>2</v>
      </c>
      <c r="C7" s="78">
        <v>173</v>
      </c>
      <c r="D7" s="78">
        <v>577</v>
      </c>
      <c r="E7" s="78">
        <f>(C7/969)*100</f>
        <v>17.853457172342623</v>
      </c>
      <c r="F7" s="78">
        <f t="shared" ref="F7:F13" si="1">(D7/4028)*100</f>
        <v>14.324726911618669</v>
      </c>
    </row>
    <row r="8" spans="1:6">
      <c r="A8" s="78" t="s">
        <v>116</v>
      </c>
      <c r="B8" s="78">
        <v>3</v>
      </c>
      <c r="C8" s="78">
        <v>111</v>
      </c>
      <c r="D8" s="78">
        <v>523</v>
      </c>
      <c r="E8" s="78">
        <f t="shared" si="0"/>
        <v>11.455108359133128</v>
      </c>
      <c r="F8" s="78">
        <f t="shared" si="1"/>
        <v>12.984111221449851</v>
      </c>
    </row>
    <row r="9" spans="1:6">
      <c r="A9" s="78" t="s">
        <v>117</v>
      </c>
      <c r="B9" s="78">
        <v>4</v>
      </c>
      <c r="C9" s="78">
        <v>22</v>
      </c>
      <c r="D9" s="78">
        <v>490</v>
      </c>
      <c r="E9" s="78">
        <f t="shared" si="0"/>
        <v>2.2703818369453046</v>
      </c>
      <c r="F9" s="78">
        <f t="shared" si="1"/>
        <v>12.164846077457796</v>
      </c>
    </row>
    <row r="10" spans="1:6">
      <c r="A10" s="78" t="s">
        <v>118</v>
      </c>
      <c r="B10" s="78">
        <v>5</v>
      </c>
      <c r="C10" s="78">
        <v>157</v>
      </c>
      <c r="D10" s="78">
        <v>227</v>
      </c>
      <c r="E10" s="78">
        <f t="shared" si="0"/>
        <v>16.202270381836943</v>
      </c>
      <c r="F10" s="78">
        <f t="shared" si="1"/>
        <v>5.6355511420059585</v>
      </c>
    </row>
    <row r="11" spans="1:6">
      <c r="A11" s="78" t="s">
        <v>119</v>
      </c>
      <c r="B11" s="78">
        <v>6</v>
      </c>
      <c r="C11" s="78">
        <v>58</v>
      </c>
      <c r="D11" s="78">
        <v>166</v>
      </c>
      <c r="E11" s="78">
        <f t="shared" si="0"/>
        <v>5.9855521155830749</v>
      </c>
      <c r="F11" s="78">
        <f t="shared" si="1"/>
        <v>4.1211519364448854</v>
      </c>
    </row>
    <row r="12" spans="1:6">
      <c r="A12" s="78" t="s">
        <v>120</v>
      </c>
      <c r="B12" s="78">
        <v>7</v>
      </c>
      <c r="C12" s="78">
        <v>54</v>
      </c>
      <c r="D12" s="78">
        <v>162</v>
      </c>
      <c r="E12" s="78">
        <f>(C12/969)*100</f>
        <v>5.5727554179566559</v>
      </c>
      <c r="F12" s="78">
        <f t="shared" si="1"/>
        <v>4.0218470705064551</v>
      </c>
    </row>
    <row r="13" spans="1:6">
      <c r="A13" s="88"/>
      <c r="B13" s="92" t="s">
        <v>101</v>
      </c>
      <c r="C13" s="78">
        <f>SUM(C5:C12)</f>
        <v>969</v>
      </c>
      <c r="D13" s="78">
        <f>SUM(D5:D12)</f>
        <v>4028</v>
      </c>
      <c r="E13" s="78">
        <f t="shared" si="0"/>
        <v>100</v>
      </c>
      <c r="F13" s="78">
        <f t="shared" si="1"/>
        <v>100</v>
      </c>
    </row>
  </sheetData>
  <mergeCells count="3">
    <mergeCell ref="C3:D3"/>
    <mergeCell ref="E3:F3"/>
    <mergeCell ref="A3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1733-D0B4-1E44-82E0-5EB0F6756C3C}">
  <dimension ref="A1:F10"/>
  <sheetViews>
    <sheetView workbookViewId="0">
      <selection activeCell="I8" sqref="I8"/>
    </sheetView>
  </sheetViews>
  <sheetFormatPr baseColWidth="10" defaultRowHeight="16"/>
  <cols>
    <col min="1" max="1" width="21" customWidth="1"/>
    <col min="5" max="5" width="16.33203125" bestFit="1" customWidth="1"/>
    <col min="6" max="6" width="13.5" bestFit="1" customWidth="1"/>
  </cols>
  <sheetData>
    <row r="1" spans="1:6">
      <c r="A1" s="2" t="s">
        <v>67</v>
      </c>
      <c r="B1" s="2"/>
      <c r="C1" s="2"/>
      <c r="D1" s="2"/>
    </row>
    <row r="2" spans="1:6">
      <c r="A2" s="88"/>
      <c r="B2" s="88"/>
      <c r="C2" s="181" t="s">
        <v>107</v>
      </c>
      <c r="D2" s="181"/>
      <c r="E2" s="181" t="s">
        <v>100</v>
      </c>
      <c r="F2" s="181"/>
    </row>
    <row r="3" spans="1:6">
      <c r="A3" s="90" t="s">
        <v>121</v>
      </c>
      <c r="B3" s="91" t="s">
        <v>103</v>
      </c>
      <c r="C3" s="91" t="s">
        <v>19</v>
      </c>
      <c r="D3" s="91" t="s">
        <v>212</v>
      </c>
      <c r="E3" s="91" t="s">
        <v>104</v>
      </c>
      <c r="F3" s="91" t="s">
        <v>105</v>
      </c>
    </row>
    <row r="4" spans="1:6">
      <c r="A4" s="78" t="s">
        <v>108</v>
      </c>
      <c r="B4" s="78">
        <v>0</v>
      </c>
      <c r="C4" s="78">
        <v>235</v>
      </c>
      <c r="D4" s="78">
        <v>1141</v>
      </c>
      <c r="E4" s="78">
        <f>(C4/C10)*100</f>
        <v>12.39451476793249</v>
      </c>
      <c r="F4" s="78">
        <f>(D4/2591)*100</f>
        <v>44.037051331532226</v>
      </c>
    </row>
    <row r="5" spans="1:6">
      <c r="A5" s="78" t="s">
        <v>109</v>
      </c>
      <c r="B5" s="78">
        <v>1</v>
      </c>
      <c r="C5" s="78">
        <v>257</v>
      </c>
      <c r="D5" s="78">
        <v>858</v>
      </c>
      <c r="E5" s="78">
        <f>(C5/C10)*100</f>
        <v>13.554852320675106</v>
      </c>
      <c r="F5" s="78">
        <f t="shared" ref="F5:F10" si="0">(D5/2591)*100</f>
        <v>33.114627556927829</v>
      </c>
    </row>
    <row r="6" spans="1:6">
      <c r="A6" s="78" t="s">
        <v>110</v>
      </c>
      <c r="B6" s="78">
        <v>2</v>
      </c>
      <c r="C6" s="78">
        <v>903</v>
      </c>
      <c r="D6" s="78">
        <v>8</v>
      </c>
      <c r="E6" s="78">
        <f>(C6/C10)*100</f>
        <v>47.62658227848101</v>
      </c>
      <c r="F6" s="78">
        <f t="shared" si="0"/>
        <v>0.30876109610189117</v>
      </c>
    </row>
    <row r="7" spans="1:6">
      <c r="A7" t="s">
        <v>106</v>
      </c>
      <c r="B7" s="78">
        <v>3</v>
      </c>
      <c r="C7" s="78">
        <v>197</v>
      </c>
      <c r="D7" s="78">
        <v>513</v>
      </c>
      <c r="E7" s="78">
        <f>(C7/1896)*100</f>
        <v>10.390295358649789</v>
      </c>
      <c r="F7" s="78">
        <f t="shared" si="0"/>
        <v>19.79930528753377</v>
      </c>
    </row>
    <row r="8" spans="1:6">
      <c r="A8" s="78" t="s">
        <v>111</v>
      </c>
      <c r="B8" s="78">
        <v>4</v>
      </c>
      <c r="C8" s="78">
        <v>282</v>
      </c>
      <c r="D8" s="78">
        <v>2</v>
      </c>
      <c r="E8" s="78">
        <f>(C8/1896)*100</f>
        <v>14.873417721518987</v>
      </c>
      <c r="F8" s="78">
        <f t="shared" si="0"/>
        <v>7.7190274025472794E-2</v>
      </c>
    </row>
    <row r="9" spans="1:6">
      <c r="A9" s="78" t="s">
        <v>112</v>
      </c>
      <c r="B9" s="78">
        <v>5</v>
      </c>
      <c r="C9" s="78">
        <v>22</v>
      </c>
      <c r="D9" s="78">
        <v>69</v>
      </c>
      <c r="E9" s="78">
        <f>(C9/1896)*100</f>
        <v>1.1603375527426161</v>
      </c>
      <c r="F9" s="78">
        <f t="shared" si="0"/>
        <v>2.6630644538788113</v>
      </c>
    </row>
    <row r="10" spans="1:6">
      <c r="A10" s="88"/>
      <c r="B10" s="92" t="s">
        <v>101</v>
      </c>
      <c r="C10" s="78">
        <f>SUM(C4:C9)</f>
        <v>1896</v>
      </c>
      <c r="D10" s="78">
        <f>SUM(D4:D9)</f>
        <v>2591</v>
      </c>
      <c r="E10" s="78">
        <f t="shared" ref="E10" si="1">(C10/1896)*100</f>
        <v>100</v>
      </c>
      <c r="F10" s="78">
        <f t="shared" si="0"/>
        <v>100</v>
      </c>
    </row>
  </sheetData>
  <mergeCells count="2">
    <mergeCell ref="C2:D2"/>
    <mergeCell ref="E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9E65-A0E4-284C-B937-0B5A1FAD98B3}">
  <dimension ref="A2:L25"/>
  <sheetViews>
    <sheetView topLeftCell="A2" workbookViewId="0">
      <selection activeCell="G35" sqref="G35"/>
    </sheetView>
  </sheetViews>
  <sheetFormatPr baseColWidth="10" defaultRowHeight="16"/>
  <cols>
    <col min="1" max="1" width="15.1640625" bestFit="1" customWidth="1"/>
    <col min="2" max="4" width="13.1640625" bestFit="1" customWidth="1"/>
    <col min="5" max="7" width="12.83203125" bestFit="1" customWidth="1"/>
    <col min="8" max="10" width="13" bestFit="1" customWidth="1"/>
  </cols>
  <sheetData>
    <row r="2" spans="1:12">
      <c r="A2" s="78"/>
      <c r="B2" s="182" t="s">
        <v>139</v>
      </c>
      <c r="C2" s="182"/>
      <c r="D2" s="182"/>
      <c r="E2" s="182"/>
      <c r="F2" s="182"/>
      <c r="G2" s="182"/>
      <c r="H2" s="182"/>
      <c r="I2" s="182"/>
    </row>
    <row r="3" spans="1:12">
      <c r="A3" s="94" t="s">
        <v>153</v>
      </c>
      <c r="B3" s="94" t="s">
        <v>143</v>
      </c>
      <c r="C3" s="104" t="s">
        <v>144</v>
      </c>
      <c r="D3" s="94" t="s">
        <v>145</v>
      </c>
      <c r="E3" s="94" t="s">
        <v>146</v>
      </c>
      <c r="F3" s="94" t="s">
        <v>147</v>
      </c>
      <c r="G3" s="94" t="s">
        <v>148</v>
      </c>
      <c r="H3" s="96" t="s">
        <v>149</v>
      </c>
      <c r="I3" s="94" t="s">
        <v>150</v>
      </c>
    </row>
    <row r="4" spans="1:12">
      <c r="A4" s="93" t="s">
        <v>130</v>
      </c>
      <c r="B4" s="78">
        <v>-0.15126028289388102</v>
      </c>
      <c r="C4" s="78">
        <v>0.20040352981123907</v>
      </c>
      <c r="D4" s="78">
        <v>-0.64515771746776784</v>
      </c>
      <c r="E4" s="78">
        <v>-0.44554216996220702</v>
      </c>
      <c r="F4" s="78">
        <v>-0.65279743302869142</v>
      </c>
      <c r="G4" s="78">
        <v>-7.9713153103280324E-2</v>
      </c>
      <c r="H4" s="78">
        <v>-0.50190023314837062</v>
      </c>
      <c r="I4" s="78">
        <v>0.39983262773934874</v>
      </c>
    </row>
    <row r="5" spans="1:12">
      <c r="A5" s="93" t="s">
        <v>131</v>
      </c>
      <c r="B5" s="78">
        <v>-0.14778521790163598</v>
      </c>
      <c r="C5" s="78">
        <v>0.70466842077362735</v>
      </c>
      <c r="D5" s="78">
        <v>-0.62494690003262687</v>
      </c>
      <c r="E5" s="78">
        <v>1.6376853152557106E-2</v>
      </c>
      <c r="F5" s="78">
        <v>-0.6566958238927646</v>
      </c>
      <c r="G5" s="78">
        <v>0.52025341879955045</v>
      </c>
      <c r="H5" s="78">
        <v>-0.78609377857009255</v>
      </c>
      <c r="I5" s="78">
        <v>-0.16042892175954598</v>
      </c>
    </row>
    <row r="6" spans="1:12">
      <c r="A6" s="93" t="s">
        <v>132</v>
      </c>
      <c r="B6" s="78">
        <v>-1.4294656762439035</v>
      </c>
      <c r="C6" s="78">
        <v>-1.1307283467329914</v>
      </c>
      <c r="D6" s="78">
        <v>-0.72687303278144644</v>
      </c>
      <c r="E6" s="78">
        <v>-1.1187931260969708</v>
      </c>
      <c r="F6" s="78">
        <v>-0.64853302013441361</v>
      </c>
      <c r="G6" s="78">
        <v>0.7698549104897946</v>
      </c>
      <c r="H6" s="78">
        <v>-0.40436780428546221</v>
      </c>
      <c r="I6" s="78">
        <v>-0.83438626519819592</v>
      </c>
    </row>
    <row r="7" spans="1:12">
      <c r="A7" s="93" t="s">
        <v>133</v>
      </c>
      <c r="B7" s="78">
        <v>-0.89753993308990809</v>
      </c>
      <c r="C7" s="78">
        <v>-0.69113590312537609</v>
      </c>
      <c r="D7" s="78">
        <v>-0.61695467443437169</v>
      </c>
      <c r="E7" s="78">
        <v>-0.74110106539693321</v>
      </c>
      <c r="F7" s="78">
        <v>-0.68774958916238349</v>
      </c>
      <c r="G7" s="78">
        <v>0.10394472682337458</v>
      </c>
      <c r="H7" s="78">
        <v>0.61325075383065542</v>
      </c>
      <c r="I7" s="78">
        <v>-0.83012950916417594</v>
      </c>
    </row>
    <row r="8" spans="1:12">
      <c r="A8" s="93" t="s">
        <v>134</v>
      </c>
      <c r="B8" s="78">
        <v>1.0036841774567522</v>
      </c>
      <c r="C8" s="78">
        <v>-1.0572337789626232</v>
      </c>
      <c r="D8" s="78">
        <v>-0.62279081254570234</v>
      </c>
      <c r="E8" s="78">
        <v>-0.33564534888169434</v>
      </c>
      <c r="F8" s="78">
        <v>-0.65087426642931123</v>
      </c>
      <c r="G8" s="78">
        <v>1.037172596385183</v>
      </c>
      <c r="H8" s="78">
        <v>2.2558191681347486</v>
      </c>
      <c r="I8" s="78">
        <v>-1.0618764342526346</v>
      </c>
    </row>
    <row r="9" spans="1:12">
      <c r="A9" s="93" t="s">
        <v>135</v>
      </c>
      <c r="B9" s="78">
        <v>-0.92871164379480231</v>
      </c>
      <c r="C9" s="78">
        <v>-1.0969310851205845</v>
      </c>
      <c r="D9" s="78">
        <v>-0.67405409508172998</v>
      </c>
      <c r="E9" s="78">
        <v>-1.0176081371828463</v>
      </c>
      <c r="F9" s="78">
        <v>-0.6323727949267588</v>
      </c>
      <c r="G9" s="78">
        <v>1.2653178084269763</v>
      </c>
      <c r="H9" s="78">
        <v>0.6074164061638303</v>
      </c>
      <c r="I9" s="78">
        <v>-0.88467764317688469</v>
      </c>
    </row>
    <row r="10" spans="1:12">
      <c r="A10" s="93" t="s">
        <v>136</v>
      </c>
      <c r="B10" s="78">
        <v>0.13361950157908145</v>
      </c>
      <c r="C10" s="78">
        <v>1.4005114917695649</v>
      </c>
      <c r="D10" s="78">
        <v>0.98521340020867798</v>
      </c>
      <c r="E10" s="78">
        <v>0.94702327959445953</v>
      </c>
      <c r="F10" s="78">
        <v>0.88537286852781749</v>
      </c>
      <c r="G10" s="78">
        <v>-0.99100356243328769</v>
      </c>
      <c r="H10" s="78">
        <v>-0.80790701717589652</v>
      </c>
      <c r="I10" s="78">
        <v>1.7840725616892845</v>
      </c>
    </row>
    <row r="11" spans="1:12">
      <c r="A11" s="93" t="s">
        <v>137</v>
      </c>
      <c r="B11" s="78">
        <v>0.82367486654731681</v>
      </c>
      <c r="C11" s="78">
        <v>0.71390191223749222</v>
      </c>
      <c r="D11" s="78">
        <v>1.7725485899152531</v>
      </c>
      <c r="E11" s="78">
        <v>1.7494934537941611</v>
      </c>
      <c r="F11" s="78">
        <v>1.5914343355096341</v>
      </c>
      <c r="G11" s="78">
        <v>-1.2317535185743698</v>
      </c>
      <c r="H11" s="78">
        <v>-0.53096934777760718</v>
      </c>
      <c r="I11" s="78">
        <v>0.98835179176195131</v>
      </c>
    </row>
    <row r="12" spans="1:12">
      <c r="A12" s="93" t="s">
        <v>138</v>
      </c>
      <c r="B12" s="78">
        <v>1.5937842083409812</v>
      </c>
      <c r="C12" s="78">
        <v>0.95654375934965352</v>
      </c>
      <c r="D12" s="78">
        <v>1.1530152422197144</v>
      </c>
      <c r="E12" s="78">
        <v>0.94579626097947533</v>
      </c>
      <c r="F12" s="78">
        <v>1.4522157235368718</v>
      </c>
      <c r="G12" s="78">
        <v>-1.3940732268139406</v>
      </c>
      <c r="H12" s="78">
        <v>-0.4452481471718055</v>
      </c>
      <c r="I12" s="78">
        <v>0.59924179236085306</v>
      </c>
    </row>
    <row r="16" spans="1:12">
      <c r="A16" s="78"/>
      <c r="B16" s="183" t="s">
        <v>142</v>
      </c>
      <c r="C16" s="184"/>
      <c r="D16" s="184"/>
      <c r="E16" s="184"/>
      <c r="F16" s="184"/>
      <c r="G16" s="184"/>
      <c r="H16" s="184"/>
      <c r="I16" s="184"/>
      <c r="J16" s="185"/>
      <c r="K16" s="78"/>
      <c r="L16" s="78"/>
    </row>
    <row r="17" spans="1:12">
      <c r="A17" s="89" t="s">
        <v>151</v>
      </c>
      <c r="B17" s="100" t="s">
        <v>166</v>
      </c>
      <c r="C17" s="100" t="s">
        <v>167</v>
      </c>
      <c r="D17" s="109" t="s">
        <v>168</v>
      </c>
      <c r="E17" s="100" t="s">
        <v>160</v>
      </c>
      <c r="F17" s="100" t="s">
        <v>169</v>
      </c>
      <c r="G17" s="100" t="s">
        <v>170</v>
      </c>
      <c r="H17" s="100" t="s">
        <v>171</v>
      </c>
      <c r="I17" s="100" t="s">
        <v>172</v>
      </c>
      <c r="J17" s="100" t="s">
        <v>173</v>
      </c>
      <c r="K17" s="100" t="s">
        <v>141</v>
      </c>
      <c r="L17" s="100" t="s">
        <v>31</v>
      </c>
    </row>
    <row r="18" spans="1:12">
      <c r="A18" s="88" t="s">
        <v>143</v>
      </c>
      <c r="B18" s="98">
        <v>393.91399999999999</v>
      </c>
      <c r="C18" s="98">
        <v>394.65</v>
      </c>
      <c r="D18" s="98">
        <v>123.197</v>
      </c>
      <c r="E18" s="98">
        <v>235.85599999999999</v>
      </c>
      <c r="F18" s="98">
        <v>638.52499999999998</v>
      </c>
      <c r="G18" s="98">
        <v>229.25399999999999</v>
      </c>
      <c r="H18" s="78">
        <v>454.25</v>
      </c>
      <c r="I18" s="78">
        <v>600.4</v>
      </c>
      <c r="J18" s="78">
        <v>763.505</v>
      </c>
      <c r="K18" s="78">
        <f t="shared" ref="K18:K21" si="0">AVERAGE(B18:J18)</f>
        <v>425.95011111111108</v>
      </c>
      <c r="L18" s="78">
        <f t="shared" ref="L18:L21" si="1">STDEV(B18:J18)</f>
        <v>211.79459999811399</v>
      </c>
    </row>
    <row r="19" spans="1:12">
      <c r="A19" s="103" t="s">
        <v>144</v>
      </c>
      <c r="B19" s="78">
        <v>1121.21</v>
      </c>
      <c r="C19" s="78">
        <v>1346.76</v>
      </c>
      <c r="D19" s="78">
        <v>525.81500000000005</v>
      </c>
      <c r="E19" s="78">
        <v>722.43799999999999</v>
      </c>
      <c r="F19" s="78">
        <v>558.68799999999999</v>
      </c>
      <c r="G19" s="78">
        <v>540.93200000000002</v>
      </c>
      <c r="H19" s="98">
        <v>1658</v>
      </c>
      <c r="I19" s="98">
        <v>1350.89</v>
      </c>
      <c r="J19" s="98">
        <v>1459.42</v>
      </c>
      <c r="K19" s="78">
        <f t="shared" si="0"/>
        <v>1031.5725555555555</v>
      </c>
      <c r="L19" s="78">
        <f t="shared" si="1"/>
        <v>447.28475855128119</v>
      </c>
    </row>
    <row r="20" spans="1:12">
      <c r="A20" s="88" t="s">
        <v>145</v>
      </c>
      <c r="B20" s="98">
        <v>237.351</v>
      </c>
      <c r="C20" s="98">
        <v>272.68099999999998</v>
      </c>
      <c r="D20" s="98">
        <v>94.506600000000006</v>
      </c>
      <c r="E20" s="78">
        <v>286.65199999999999</v>
      </c>
      <c r="F20" s="78">
        <v>276.45</v>
      </c>
      <c r="G20" s="78">
        <v>186.83799999999999</v>
      </c>
      <c r="H20" s="78">
        <v>3087.36</v>
      </c>
      <c r="I20" s="78">
        <v>4463.68</v>
      </c>
      <c r="J20" s="78">
        <v>3380.69</v>
      </c>
      <c r="K20" s="78">
        <f t="shared" si="0"/>
        <v>1365.1342888888889</v>
      </c>
      <c r="L20" s="78">
        <f t="shared" si="1"/>
        <v>1748.073778479187</v>
      </c>
    </row>
    <row r="21" spans="1:12">
      <c r="A21" s="88" t="s">
        <v>146</v>
      </c>
      <c r="B21" s="78">
        <v>900.60400000000004</v>
      </c>
      <c r="C21" s="78">
        <v>1194.24</v>
      </c>
      <c r="D21" s="78">
        <v>472.62700000000001</v>
      </c>
      <c r="E21" s="78">
        <v>712.721</v>
      </c>
      <c r="F21" s="78">
        <v>970.46400000000006</v>
      </c>
      <c r="G21" s="78">
        <v>536.94899999999996</v>
      </c>
      <c r="H21" s="98">
        <v>1785.84</v>
      </c>
      <c r="I21" s="98">
        <v>2295.96</v>
      </c>
      <c r="J21" s="98">
        <v>1785.06</v>
      </c>
      <c r="K21" s="78">
        <f t="shared" si="0"/>
        <v>1183.8294444444443</v>
      </c>
      <c r="L21" s="78">
        <f t="shared" si="1"/>
        <v>635.68717741907301</v>
      </c>
    </row>
    <row r="22" spans="1:12">
      <c r="A22" s="107" t="s">
        <v>147</v>
      </c>
      <c r="B22" s="105">
        <v>10.9712</v>
      </c>
      <c r="C22" s="105">
        <v>9.9594900000000006</v>
      </c>
      <c r="D22" s="105">
        <v>12.0779</v>
      </c>
      <c r="E22" s="105">
        <v>1.90042</v>
      </c>
      <c r="F22" s="105">
        <v>11.4703</v>
      </c>
      <c r="G22" s="105">
        <v>16.271799999999999</v>
      </c>
      <c r="H22" s="105">
        <v>410.15699999999998</v>
      </c>
      <c r="I22" s="105">
        <v>593.39400000000001</v>
      </c>
      <c r="J22" s="105">
        <v>557.26400000000001</v>
      </c>
      <c r="K22" s="105">
        <v>180.3851233</v>
      </c>
      <c r="L22" s="105">
        <v>259.51989800000001</v>
      </c>
    </row>
    <row r="23" spans="1:12">
      <c r="A23" s="88" t="s">
        <v>148</v>
      </c>
      <c r="B23" s="78">
        <v>104.619</v>
      </c>
      <c r="C23" s="78">
        <v>132.05000000000001</v>
      </c>
      <c r="D23" s="78">
        <v>143.46199999999999</v>
      </c>
      <c r="E23" s="78">
        <v>113.01600000000001</v>
      </c>
      <c r="F23" s="78">
        <v>155.684</v>
      </c>
      <c r="G23" s="78">
        <v>166.11500000000001</v>
      </c>
      <c r="H23" s="78">
        <v>62.954000000000001</v>
      </c>
      <c r="I23" s="78">
        <v>51.9467</v>
      </c>
      <c r="J23" s="78">
        <v>44.525300000000001</v>
      </c>
      <c r="K23" s="78">
        <f t="shared" ref="K23" si="2">AVERAGE(B23:J23)</f>
        <v>108.26355555555556</v>
      </c>
      <c r="L23" s="78">
        <f t="shared" ref="L23" si="3">STDEV(B23:J23)</f>
        <v>45.720880603399145</v>
      </c>
    </row>
    <row r="24" spans="1:12">
      <c r="A24" s="108" t="s">
        <v>149</v>
      </c>
      <c r="B24" s="105">
        <v>42.816400000000002</v>
      </c>
      <c r="C24" s="105">
        <v>27.862300000000001</v>
      </c>
      <c r="D24" s="105">
        <v>47.948500000000003</v>
      </c>
      <c r="E24" s="105">
        <v>101.495</v>
      </c>
      <c r="F24" s="105">
        <v>187.92599999999999</v>
      </c>
      <c r="G24" s="105">
        <v>101.188</v>
      </c>
      <c r="H24" s="105">
        <v>26.714500000000001</v>
      </c>
      <c r="I24" s="105">
        <v>41.286799999999999</v>
      </c>
      <c r="J24" s="105">
        <v>45.797400000000003</v>
      </c>
      <c r="K24" s="105">
        <v>69.226100000000002</v>
      </c>
      <c r="L24" s="105">
        <v>52.619421699999997</v>
      </c>
    </row>
    <row r="25" spans="1:12">
      <c r="A25" s="103" t="s">
        <v>150</v>
      </c>
      <c r="B25" s="106">
        <v>459.28699999999998</v>
      </c>
      <c r="C25" s="106">
        <v>298.45100000000002</v>
      </c>
      <c r="D25" s="106">
        <v>104.976</v>
      </c>
      <c r="E25" s="78">
        <v>106.19799999999999</v>
      </c>
      <c r="F25" s="78">
        <v>39.669699999999999</v>
      </c>
      <c r="G25" s="78">
        <v>90.538700000000006</v>
      </c>
      <c r="H25" s="78">
        <v>856.66499999999996</v>
      </c>
      <c r="I25" s="78">
        <v>628.23500000000001</v>
      </c>
      <c r="J25" s="78">
        <v>516.53200000000004</v>
      </c>
      <c r="K25" s="78">
        <f>AVERAGE(B25:J25)</f>
        <v>344.50582222222221</v>
      </c>
      <c r="L25" s="78">
        <f t="shared" ref="L25" si="4">STDEV(B25:J25)</f>
        <v>287.07306461393574</v>
      </c>
    </row>
  </sheetData>
  <mergeCells count="2">
    <mergeCell ref="B2:I2"/>
    <mergeCell ref="B16:J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B7C9-E7E6-5E43-8567-D8F6D50B60E3}">
  <dimension ref="A2:L25"/>
  <sheetViews>
    <sheetView zoomScale="99" workbookViewId="0">
      <selection activeCell="H37" sqref="H37"/>
    </sheetView>
  </sheetViews>
  <sheetFormatPr baseColWidth="10" defaultRowHeight="16"/>
  <cols>
    <col min="1" max="1" width="16.6640625" bestFit="1" customWidth="1"/>
  </cols>
  <sheetData>
    <row r="2" spans="1:12">
      <c r="A2" s="92"/>
      <c r="B2" s="183" t="s">
        <v>139</v>
      </c>
      <c r="C2" s="184"/>
      <c r="D2" s="184"/>
      <c r="E2" s="184"/>
      <c r="F2" s="184"/>
      <c r="G2" s="184"/>
      <c r="H2" s="184"/>
      <c r="I2" s="185"/>
    </row>
    <row r="3" spans="1:12">
      <c r="A3" s="94" t="s">
        <v>152</v>
      </c>
      <c r="B3" s="94" t="s">
        <v>122</v>
      </c>
      <c r="C3" s="95" t="s">
        <v>123</v>
      </c>
      <c r="D3" s="95" t="s">
        <v>124</v>
      </c>
      <c r="E3" s="95" t="s">
        <v>125</v>
      </c>
      <c r="F3" s="95" t="s">
        <v>126</v>
      </c>
      <c r="G3" s="96" t="s">
        <v>127</v>
      </c>
      <c r="H3" s="96" t="s">
        <v>128</v>
      </c>
      <c r="I3" s="96" t="s">
        <v>129</v>
      </c>
    </row>
    <row r="4" spans="1:12">
      <c r="A4" s="93" t="s">
        <v>130</v>
      </c>
      <c r="B4" s="78">
        <v>1.6976615720454329</v>
      </c>
      <c r="C4" s="78">
        <v>7.0628066519745847E-2</v>
      </c>
      <c r="D4" s="78">
        <v>0.25932065106463059</v>
      </c>
      <c r="E4" s="78">
        <v>4.8691382939129023E-2</v>
      </c>
      <c r="F4" s="78">
        <v>6.3307105634785296E-2</v>
      </c>
      <c r="G4" s="78">
        <v>1.5817419069236311</v>
      </c>
      <c r="H4" s="78">
        <v>-0.74061806589170032</v>
      </c>
      <c r="I4" s="78">
        <v>0.32724102504161257</v>
      </c>
    </row>
    <row r="5" spans="1:12">
      <c r="A5" s="93" t="s">
        <v>131</v>
      </c>
      <c r="B5" s="78">
        <v>0.83770393141745547</v>
      </c>
      <c r="C5" s="78">
        <v>-0.31167879667658122</v>
      </c>
      <c r="D5" s="78">
        <v>0.45968083975100332</v>
      </c>
      <c r="E5" s="78">
        <v>-0.38791312736264261</v>
      </c>
      <c r="F5" s="78">
        <v>-0.20864287224663641</v>
      </c>
      <c r="G5" s="78">
        <v>0.85260371824100378</v>
      </c>
      <c r="H5" s="78">
        <v>1.2594431533654231</v>
      </c>
      <c r="I5" s="78">
        <v>1.0634654344567205</v>
      </c>
    </row>
    <row r="6" spans="1:12">
      <c r="A6" s="93" t="s">
        <v>132</v>
      </c>
      <c r="B6" s="78">
        <v>1.1000934964647313</v>
      </c>
      <c r="C6" s="78">
        <v>1.8165408639642988</v>
      </c>
      <c r="D6" s="78">
        <v>1.3907943180758344</v>
      </c>
      <c r="E6" s="78">
        <v>2.2649151971646053</v>
      </c>
      <c r="F6" s="78">
        <v>2.2262780605828585</v>
      </c>
      <c r="G6" s="78">
        <v>0.234312469023847</v>
      </c>
      <c r="H6" s="78">
        <v>1.891942327084557</v>
      </c>
      <c r="I6" s="78">
        <v>5.1126849059560546E-2</v>
      </c>
    </row>
    <row r="7" spans="1:12">
      <c r="A7" s="93" t="s">
        <v>133</v>
      </c>
      <c r="B7" s="78">
        <v>-0.51322492222062144</v>
      </c>
      <c r="C7" s="78">
        <v>-0.24486662147678373</v>
      </c>
      <c r="D7" s="78">
        <v>1.0621143426916104</v>
      </c>
      <c r="E7" s="78">
        <v>-0.29533555724741001</v>
      </c>
      <c r="F7" s="78">
        <v>2.581197274780133E-2</v>
      </c>
      <c r="G7" s="78">
        <v>0.31444871000346686</v>
      </c>
      <c r="H7" s="78">
        <v>-0.74061859246695705</v>
      </c>
      <c r="I7" s="78">
        <v>0.85801949019975032</v>
      </c>
    </row>
    <row r="8" spans="1:12">
      <c r="A8" s="93" t="s">
        <v>134</v>
      </c>
      <c r="B8" s="78">
        <v>-0.76353267617102194</v>
      </c>
      <c r="C8" s="78">
        <v>-0.25935528420461851</v>
      </c>
      <c r="D8" s="78">
        <v>-0.76224572385957323</v>
      </c>
      <c r="E8" s="78">
        <v>-0.43942500884149482</v>
      </c>
      <c r="F8" s="78">
        <v>-0.58733666791956152</v>
      </c>
      <c r="G8" s="78">
        <v>0.58003561712250939</v>
      </c>
      <c r="H8" s="78">
        <v>0.51745340391062167</v>
      </c>
      <c r="I8" s="78">
        <v>1.0709664284646636</v>
      </c>
    </row>
    <row r="9" spans="1:12">
      <c r="A9" s="93" t="s">
        <v>135</v>
      </c>
      <c r="B9" s="78">
        <v>0.25757988207226146</v>
      </c>
      <c r="C9" s="78">
        <v>1.5032307671599898</v>
      </c>
      <c r="D9" s="78">
        <v>0.79947721404807415</v>
      </c>
      <c r="E9" s="78">
        <v>0.95193943496134126</v>
      </c>
      <c r="F9" s="78">
        <v>0.86597228175520813</v>
      </c>
      <c r="G9" s="78">
        <v>1.7816793700008757E-2</v>
      </c>
      <c r="H9" s="78">
        <v>-0.74061795815132103</v>
      </c>
      <c r="I9" s="78">
        <v>0.38473632886604497</v>
      </c>
    </row>
    <row r="10" spans="1:12">
      <c r="A10" s="93" t="s">
        <v>136</v>
      </c>
      <c r="B10" s="78">
        <v>-0.8088855418085833</v>
      </c>
      <c r="C10" s="78">
        <v>-0.86056612882943284</v>
      </c>
      <c r="D10" s="78">
        <v>-1.1153901455338007</v>
      </c>
      <c r="E10" s="78">
        <v>-0.71858678782444452</v>
      </c>
      <c r="F10" s="78">
        <v>-0.79336859976264096</v>
      </c>
      <c r="G10" s="78">
        <v>-1.2300929378151053</v>
      </c>
      <c r="H10" s="78">
        <v>-0.6012367048279661</v>
      </c>
      <c r="I10" s="78">
        <v>-1.299519498844133</v>
      </c>
    </row>
    <row r="11" spans="1:12">
      <c r="A11" s="93" t="s">
        <v>137</v>
      </c>
      <c r="B11" s="78">
        <v>-0.95673908893654813</v>
      </c>
      <c r="C11" s="78">
        <v>-0.88665423313379077</v>
      </c>
      <c r="D11" s="78">
        <v>-1.0089586459299646</v>
      </c>
      <c r="E11" s="78">
        <v>-0.72062729337636078</v>
      </c>
      <c r="F11" s="78">
        <v>-0.84021546298121308</v>
      </c>
      <c r="G11" s="78">
        <v>-1.2212894227528861</v>
      </c>
      <c r="H11" s="78">
        <v>-0.10512928916941679</v>
      </c>
      <c r="I11" s="78">
        <v>-1.1199796969466165</v>
      </c>
    </row>
    <row r="12" spans="1:12">
      <c r="A12" s="93" t="s">
        <v>138</v>
      </c>
      <c r="B12" s="78">
        <v>-0.85065665286310754</v>
      </c>
      <c r="C12" s="78">
        <v>-0.82727863332282614</v>
      </c>
      <c r="D12" s="78">
        <v>-1.0847928503078141</v>
      </c>
      <c r="E12" s="78">
        <v>-0.70365824041272218</v>
      </c>
      <c r="F12" s="78">
        <v>-0.75180581781060152</v>
      </c>
      <c r="G12" s="78">
        <v>-1.1295768544464757</v>
      </c>
      <c r="H12" s="78">
        <v>-0.74061827385324064</v>
      </c>
      <c r="I12" s="78">
        <v>-1.336056360297603</v>
      </c>
    </row>
    <row r="16" spans="1:12">
      <c r="A16" s="78"/>
      <c r="B16" s="182" t="s">
        <v>142</v>
      </c>
      <c r="C16" s="182"/>
      <c r="D16" s="182"/>
      <c r="E16" s="182"/>
      <c r="F16" s="182"/>
      <c r="G16" s="182"/>
      <c r="H16" s="182"/>
      <c r="I16" s="182"/>
      <c r="J16" s="182"/>
      <c r="K16" s="78"/>
      <c r="L16" s="78"/>
    </row>
    <row r="17" spans="1:12">
      <c r="A17" s="97" t="s">
        <v>140</v>
      </c>
      <c r="B17" s="100" t="s">
        <v>157</v>
      </c>
      <c r="C17" s="100" t="s">
        <v>158</v>
      </c>
      <c r="D17" s="100" t="s">
        <v>159</v>
      </c>
      <c r="E17" s="100" t="s">
        <v>160</v>
      </c>
      <c r="F17" s="100" t="s">
        <v>161</v>
      </c>
      <c r="G17" s="100" t="s">
        <v>162</v>
      </c>
      <c r="H17" s="100" t="s">
        <v>163</v>
      </c>
      <c r="I17" s="100" t="s">
        <v>164</v>
      </c>
      <c r="J17" s="100" t="s">
        <v>165</v>
      </c>
      <c r="K17" s="100" t="s">
        <v>141</v>
      </c>
      <c r="L17" s="100" t="s">
        <v>31</v>
      </c>
    </row>
    <row r="18" spans="1:12">
      <c r="A18" s="101" t="s">
        <v>122</v>
      </c>
      <c r="B18" s="98">
        <v>2.3510499999999999</v>
      </c>
      <c r="C18" s="98">
        <v>1.42845</v>
      </c>
      <c r="D18" s="98">
        <v>2.0903999999999998</v>
      </c>
      <c r="E18" s="78">
        <v>4.1959600000000004</v>
      </c>
      <c r="F18" s="78">
        <v>2.6340499999999998</v>
      </c>
      <c r="G18" s="78">
        <v>9.0057500000000008</v>
      </c>
      <c r="H18" s="78">
        <v>17.991800000000001</v>
      </c>
      <c r="I18" s="78">
        <v>12.6257</v>
      </c>
      <c r="J18" s="78">
        <v>14.263</v>
      </c>
      <c r="K18" s="78">
        <f>AVERAGE(B18:J18)</f>
        <v>7.3984622222222232</v>
      </c>
      <c r="L18" s="78">
        <f>STDEV(B18:J18)</f>
        <v>6.2399585124698094</v>
      </c>
    </row>
    <row r="19" spans="1:12">
      <c r="A19" s="101" t="s">
        <v>123</v>
      </c>
      <c r="B19" s="78">
        <v>12.103899999999999</v>
      </c>
      <c r="C19" s="78">
        <v>9.8050899999999999</v>
      </c>
      <c r="D19" s="78">
        <v>15.037100000000001</v>
      </c>
      <c r="E19" s="78">
        <v>66.357600000000005</v>
      </c>
      <c r="F19" s="78">
        <v>65.0809</v>
      </c>
      <c r="G19" s="78">
        <v>220.39500000000001</v>
      </c>
      <c r="H19" s="78">
        <v>94.158100000000005</v>
      </c>
      <c r="I19" s="78">
        <v>60.470300000000002</v>
      </c>
      <c r="J19" s="78">
        <v>248.00299999999999</v>
      </c>
      <c r="K19" s="78">
        <f t="shared" ref="K19:K25" si="0">AVERAGE(B19:J19)</f>
        <v>87.93455444444443</v>
      </c>
      <c r="L19" s="78">
        <f t="shared" ref="L19:L25" si="1">STDEV(B19:J19)</f>
        <v>88.117172991216265</v>
      </c>
    </row>
    <row r="20" spans="1:12">
      <c r="A20" s="101" t="s">
        <v>124</v>
      </c>
      <c r="B20" s="78">
        <v>5.7658899999999997</v>
      </c>
      <c r="C20" s="78">
        <v>6.5289599999999997</v>
      </c>
      <c r="D20" s="78">
        <v>5.9852600000000002</v>
      </c>
      <c r="E20" s="78">
        <v>21.377700000000001</v>
      </c>
      <c r="F20" s="78">
        <v>8.2977900000000009</v>
      </c>
      <c r="G20" s="78">
        <v>19.494700000000002</v>
      </c>
      <c r="H20" s="78">
        <v>15.622</v>
      </c>
      <c r="I20" s="78">
        <v>17.058499999999999</v>
      </c>
      <c r="J20" s="78">
        <v>23.734200000000001</v>
      </c>
      <c r="K20" s="78">
        <f t="shared" si="0"/>
        <v>13.762777777777778</v>
      </c>
      <c r="L20" s="78">
        <f t="shared" si="1"/>
        <v>7.1695879776225269</v>
      </c>
    </row>
    <row r="21" spans="1:12">
      <c r="A21" s="101" t="s">
        <v>125</v>
      </c>
      <c r="B21" s="78">
        <v>12.059200000000001</v>
      </c>
      <c r="C21" s="78">
        <v>11.117100000000001</v>
      </c>
      <c r="D21" s="78">
        <v>18.951699999999999</v>
      </c>
      <c r="E21" s="78">
        <v>207.47399999999999</v>
      </c>
      <c r="F21" s="78">
        <v>140.94800000000001</v>
      </c>
      <c r="G21" s="78">
        <v>783.34</v>
      </c>
      <c r="H21" s="78">
        <v>366.31099999999998</v>
      </c>
      <c r="I21" s="78">
        <v>164.73099999999999</v>
      </c>
      <c r="J21" s="78">
        <v>1389.54</v>
      </c>
      <c r="K21" s="78">
        <f t="shared" si="0"/>
        <v>343.83022222222218</v>
      </c>
      <c r="L21" s="78">
        <f t="shared" si="1"/>
        <v>461.69930736783328</v>
      </c>
    </row>
    <row r="22" spans="1:12">
      <c r="A22" s="101" t="s">
        <v>126</v>
      </c>
      <c r="B22" s="78">
        <v>7.0352800000000002</v>
      </c>
      <c r="C22" s="78">
        <v>5.2402499999999996</v>
      </c>
      <c r="D22" s="78">
        <v>8.6278400000000008</v>
      </c>
      <c r="E22" s="78">
        <v>38.4238</v>
      </c>
      <c r="F22" s="78">
        <v>14.9298</v>
      </c>
      <c r="G22" s="78">
        <v>70.616200000000006</v>
      </c>
      <c r="H22" s="78">
        <v>39.860500000000002</v>
      </c>
      <c r="I22" s="78">
        <v>29.440200000000001</v>
      </c>
      <c r="J22" s="78">
        <v>122.739</v>
      </c>
      <c r="K22" s="78">
        <f t="shared" si="0"/>
        <v>37.434763333333336</v>
      </c>
      <c r="L22" s="78">
        <f t="shared" si="1"/>
        <v>38.316973147699841</v>
      </c>
    </row>
    <row r="23" spans="1:12">
      <c r="A23" s="102" t="s">
        <v>127</v>
      </c>
      <c r="B23" s="78">
        <v>14.499599999999999</v>
      </c>
      <c r="C23" s="78">
        <v>14.633900000000001</v>
      </c>
      <c r="D23" s="78">
        <v>16.033000000000001</v>
      </c>
      <c r="E23" s="78">
        <v>38.061999999999998</v>
      </c>
      <c r="F23" s="78">
        <v>42.113599999999998</v>
      </c>
      <c r="G23" s="78">
        <v>33.536799999999999</v>
      </c>
      <c r="H23" s="78">
        <v>57.3949</v>
      </c>
      <c r="I23" s="78">
        <v>46.271700000000003</v>
      </c>
      <c r="J23" s="78">
        <v>36.839500000000001</v>
      </c>
      <c r="K23" s="78">
        <f t="shared" si="0"/>
        <v>33.265000000000001</v>
      </c>
      <c r="L23" s="78">
        <f t="shared" si="1"/>
        <v>15.255270088235088</v>
      </c>
    </row>
    <row r="24" spans="1:12">
      <c r="A24" s="102" t="s">
        <v>128</v>
      </c>
      <c r="B24" s="78">
        <v>3.57583E-2</v>
      </c>
      <c r="C24" s="78">
        <v>0.16303100000000001</v>
      </c>
      <c r="D24" s="99">
        <v>9.8603899999999998E-7</v>
      </c>
      <c r="E24" s="99">
        <v>9.0430099999999999E-7</v>
      </c>
      <c r="F24" s="78">
        <v>0.32274999999999998</v>
      </c>
      <c r="G24" s="99">
        <v>1.0670300000000001E-6</v>
      </c>
      <c r="H24" s="99">
        <v>1.0393900000000001E-6</v>
      </c>
      <c r="I24" s="78">
        <v>0.51310199999999995</v>
      </c>
      <c r="J24" s="78">
        <v>0.67536499999999999</v>
      </c>
      <c r="K24" s="78">
        <f t="shared" si="0"/>
        <v>0.19000114408444443</v>
      </c>
      <c r="L24" s="78">
        <f t="shared" si="1"/>
        <v>0.25654262763045793</v>
      </c>
    </row>
    <row r="25" spans="1:12">
      <c r="A25" s="102" t="s">
        <v>129</v>
      </c>
      <c r="B25" s="78">
        <v>565.64700000000005</v>
      </c>
      <c r="C25" s="78">
        <v>662.82500000000005</v>
      </c>
      <c r="D25" s="78">
        <v>545.87099999999998</v>
      </c>
      <c r="E25" s="98">
        <v>1733.44</v>
      </c>
      <c r="F25" s="98">
        <v>1848.7</v>
      </c>
      <c r="G25" s="98">
        <v>1477.27</v>
      </c>
      <c r="H25" s="78">
        <v>1446.15</v>
      </c>
      <c r="I25" s="78">
        <v>1844.64</v>
      </c>
      <c r="J25" s="78">
        <v>1296.7</v>
      </c>
      <c r="K25" s="78">
        <f t="shared" si="0"/>
        <v>1269.027</v>
      </c>
      <c r="L25" s="78">
        <f t="shared" si="1"/>
        <v>541.26159755634785</v>
      </c>
    </row>
  </sheetData>
  <mergeCells count="2">
    <mergeCell ref="B16:J16"/>
    <mergeCell ref="B2:I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A3CF-B446-B640-83BF-B255BC64C203}">
  <dimension ref="B1:Z55"/>
  <sheetViews>
    <sheetView topLeftCell="A32" workbookViewId="0">
      <selection activeCell="D39" sqref="D39"/>
    </sheetView>
  </sheetViews>
  <sheetFormatPr baseColWidth="10" defaultRowHeight="16"/>
  <cols>
    <col min="2" max="2" width="17.6640625" customWidth="1"/>
  </cols>
  <sheetData>
    <row r="1" spans="2:26" ht="17" thickBot="1"/>
    <row r="2" spans="2:26">
      <c r="B2" s="134" t="s">
        <v>214</v>
      </c>
      <c r="C2" s="136"/>
      <c r="D2" s="136"/>
      <c r="E2" s="136"/>
      <c r="F2" s="136"/>
      <c r="G2" s="136"/>
      <c r="H2" s="136"/>
      <c r="I2" s="137"/>
      <c r="J2" s="138" t="s">
        <v>215</v>
      </c>
      <c r="K2" s="136"/>
      <c r="L2" s="136"/>
      <c r="M2" s="136"/>
      <c r="N2" s="136"/>
      <c r="O2" s="136"/>
      <c r="P2" s="136"/>
      <c r="Q2" s="137"/>
      <c r="R2" s="138" t="s">
        <v>216</v>
      </c>
      <c r="S2" s="136"/>
      <c r="T2" s="136"/>
      <c r="U2" s="136"/>
      <c r="V2" s="136"/>
      <c r="W2" s="136"/>
      <c r="X2" s="136"/>
      <c r="Y2" s="137"/>
      <c r="Z2" s="135"/>
    </row>
    <row r="3" spans="2:26">
      <c r="B3" s="139" t="s">
        <v>217</v>
      </c>
      <c r="C3" s="135" t="s">
        <v>218</v>
      </c>
      <c r="D3" s="135" t="s">
        <v>219</v>
      </c>
      <c r="E3" s="135" t="s">
        <v>220</v>
      </c>
      <c r="F3" s="135" t="s">
        <v>221</v>
      </c>
      <c r="G3" s="135" t="s">
        <v>222</v>
      </c>
      <c r="H3" s="135"/>
      <c r="I3" s="140"/>
      <c r="J3" s="135" t="s">
        <v>217</v>
      </c>
      <c r="K3" s="135" t="s">
        <v>218</v>
      </c>
      <c r="L3" s="135" t="s">
        <v>219</v>
      </c>
      <c r="M3" s="135" t="s">
        <v>220</v>
      </c>
      <c r="N3" s="135" t="s">
        <v>221</v>
      </c>
      <c r="O3" s="135" t="s">
        <v>222</v>
      </c>
      <c r="P3" s="135"/>
      <c r="Q3" s="140"/>
      <c r="R3" s="135" t="s">
        <v>217</v>
      </c>
      <c r="S3" s="135" t="s">
        <v>218</v>
      </c>
      <c r="T3" s="135" t="s">
        <v>219</v>
      </c>
      <c r="U3" s="135" t="s">
        <v>220</v>
      </c>
      <c r="V3" s="135" t="s">
        <v>221</v>
      </c>
      <c r="W3" s="135" t="s">
        <v>222</v>
      </c>
      <c r="X3" s="135"/>
      <c r="Y3" s="140"/>
      <c r="Z3" s="135"/>
    </row>
    <row r="4" spans="2:26">
      <c r="B4" s="139" t="s">
        <v>223</v>
      </c>
      <c r="C4" s="135">
        <v>1106496</v>
      </c>
      <c r="D4" s="135">
        <v>1838</v>
      </c>
      <c r="E4" s="135">
        <v>0.166109954</v>
      </c>
      <c r="F4" s="135">
        <v>192</v>
      </c>
      <c r="G4" s="135">
        <v>8.6515599999999995E-4</v>
      </c>
      <c r="H4" s="135"/>
      <c r="I4" s="141"/>
      <c r="J4" s="135" t="s">
        <v>223</v>
      </c>
      <c r="K4" s="135">
        <v>1106496</v>
      </c>
      <c r="L4" s="135">
        <v>728</v>
      </c>
      <c r="M4" s="135">
        <v>6.5793278999999996E-2</v>
      </c>
      <c r="N4" s="135">
        <v>279</v>
      </c>
      <c r="O4" s="135">
        <v>2.35818E-4</v>
      </c>
      <c r="P4" s="135"/>
      <c r="Q4" s="141"/>
      <c r="R4" s="135" t="s">
        <v>224</v>
      </c>
      <c r="S4" s="135">
        <v>1106496</v>
      </c>
      <c r="T4" s="135">
        <v>165137</v>
      </c>
      <c r="U4" s="135">
        <v>14.924319649999999</v>
      </c>
      <c r="V4" s="135">
        <v>537</v>
      </c>
      <c r="W4" s="135">
        <v>2.7792028999999999E-2</v>
      </c>
      <c r="X4" s="135"/>
      <c r="Y4" s="141"/>
      <c r="Z4" s="135"/>
    </row>
    <row r="5" spans="2:26">
      <c r="B5" s="139" t="s">
        <v>224</v>
      </c>
      <c r="C5" s="135">
        <v>1106496</v>
      </c>
      <c r="D5" s="135">
        <v>6862</v>
      </c>
      <c r="E5" s="135">
        <v>0.62015587900000002</v>
      </c>
      <c r="F5" s="135">
        <v>268</v>
      </c>
      <c r="G5" s="135">
        <v>2.3140140000000001E-3</v>
      </c>
      <c r="H5" s="135"/>
      <c r="I5" s="141"/>
      <c r="J5" s="135" t="s">
        <v>224</v>
      </c>
      <c r="K5" s="135">
        <v>1106496</v>
      </c>
      <c r="L5" s="135">
        <v>5318</v>
      </c>
      <c r="M5" s="135">
        <v>0.480616288</v>
      </c>
      <c r="N5" s="135">
        <v>274</v>
      </c>
      <c r="O5" s="135">
        <v>1.754074E-3</v>
      </c>
      <c r="P5" s="135"/>
      <c r="Q5" s="141"/>
      <c r="R5" s="135" t="s">
        <v>225</v>
      </c>
      <c r="S5" s="135">
        <v>1106496</v>
      </c>
      <c r="T5" s="135">
        <v>159384</v>
      </c>
      <c r="U5" s="135">
        <v>14.40439007</v>
      </c>
      <c r="V5" s="135">
        <v>620</v>
      </c>
      <c r="W5" s="135">
        <v>2.3232887000000001E-2</v>
      </c>
      <c r="X5" s="135"/>
      <c r="Y5" s="141"/>
      <c r="Z5" s="135"/>
    </row>
    <row r="6" spans="2:26">
      <c r="B6" s="139" t="s">
        <v>225</v>
      </c>
      <c r="C6" s="135">
        <v>1106496</v>
      </c>
      <c r="D6" s="135">
        <v>5705</v>
      </c>
      <c r="E6" s="135">
        <v>0.51559156100000003</v>
      </c>
      <c r="F6" s="135">
        <v>185</v>
      </c>
      <c r="G6" s="135">
        <v>2.786981E-3</v>
      </c>
      <c r="H6" s="135"/>
      <c r="I6" s="141"/>
      <c r="J6" s="135" t="s">
        <v>225</v>
      </c>
      <c r="K6" s="135">
        <v>1106496</v>
      </c>
      <c r="L6" s="135">
        <v>8254</v>
      </c>
      <c r="M6" s="135">
        <v>0.74595841299999999</v>
      </c>
      <c r="N6" s="135">
        <v>345</v>
      </c>
      <c r="O6" s="135">
        <v>2.1621980000000002E-3</v>
      </c>
      <c r="P6" s="135"/>
      <c r="Q6" s="141"/>
      <c r="R6" s="135" t="s">
        <v>226</v>
      </c>
      <c r="S6" s="135">
        <v>1106496</v>
      </c>
      <c r="T6" s="135">
        <v>159384</v>
      </c>
      <c r="U6" s="135">
        <v>14.40439007</v>
      </c>
      <c r="V6" s="135">
        <v>620</v>
      </c>
      <c r="W6" s="135">
        <v>2.3232887000000001E-2</v>
      </c>
      <c r="X6" s="135"/>
      <c r="Y6" s="141"/>
      <c r="Z6" s="135"/>
    </row>
    <row r="7" spans="2:26">
      <c r="B7" s="139" t="s">
        <v>226</v>
      </c>
      <c r="C7" s="135">
        <v>1106496</v>
      </c>
      <c r="D7" s="135">
        <v>6326</v>
      </c>
      <c r="E7" s="135">
        <v>0.57171467399999998</v>
      </c>
      <c r="F7" s="135">
        <v>275</v>
      </c>
      <c r="G7" s="135">
        <v>2.0789620000000002E-3</v>
      </c>
      <c r="H7" s="135"/>
      <c r="I7" s="141"/>
      <c r="J7" s="135" t="s">
        <v>226</v>
      </c>
      <c r="K7" s="135">
        <v>1106496</v>
      </c>
      <c r="L7" s="135">
        <v>10682</v>
      </c>
      <c r="M7" s="135">
        <v>0.96538984299999997</v>
      </c>
      <c r="N7" s="135">
        <v>364</v>
      </c>
      <c r="O7" s="135">
        <v>2.6521700000000001E-3</v>
      </c>
      <c r="P7" s="135"/>
      <c r="Q7" s="141"/>
      <c r="R7" s="135" t="s">
        <v>227</v>
      </c>
      <c r="S7" s="135">
        <v>1106496</v>
      </c>
      <c r="T7" s="135">
        <v>199200</v>
      </c>
      <c r="U7" s="135">
        <v>18.00277633</v>
      </c>
      <c r="V7" s="135">
        <v>818</v>
      </c>
      <c r="W7" s="135">
        <v>2.2008283999999999E-2</v>
      </c>
      <c r="X7" s="135"/>
      <c r="Y7" s="141"/>
      <c r="Z7" s="135"/>
    </row>
    <row r="8" spans="2:26">
      <c r="B8" s="139" t="s">
        <v>227</v>
      </c>
      <c r="C8" s="135">
        <v>1106496</v>
      </c>
      <c r="D8" s="135">
        <v>2018</v>
      </c>
      <c r="E8" s="135">
        <v>0.18237752300000001</v>
      </c>
      <c r="F8" s="135">
        <v>154</v>
      </c>
      <c r="G8" s="135">
        <v>1.1842700000000001E-3</v>
      </c>
      <c r="H8" s="135"/>
      <c r="I8" s="141"/>
      <c r="J8" s="135" t="s">
        <v>227</v>
      </c>
      <c r="K8" s="135">
        <v>1106496</v>
      </c>
      <c r="L8" s="135">
        <v>7696</v>
      </c>
      <c r="M8" s="135">
        <v>0.69552894899999995</v>
      </c>
      <c r="N8" s="135">
        <v>373</v>
      </c>
      <c r="O8" s="135">
        <v>1.8646890000000001E-3</v>
      </c>
      <c r="P8" s="135"/>
      <c r="Q8" s="141"/>
      <c r="R8" s="135" t="s">
        <v>228</v>
      </c>
      <c r="S8" s="135">
        <v>1106496</v>
      </c>
      <c r="T8" s="135">
        <v>172042</v>
      </c>
      <c r="U8" s="135">
        <v>15.548361679999999</v>
      </c>
      <c r="V8" s="135">
        <v>653</v>
      </c>
      <c r="W8" s="135">
        <v>2.3810661E-2</v>
      </c>
      <c r="X8" s="135"/>
      <c r="Y8" s="141"/>
      <c r="Z8" s="135"/>
    </row>
    <row r="9" spans="2:26">
      <c r="B9" s="139" t="s">
        <v>228</v>
      </c>
      <c r="C9" s="135">
        <v>1106496</v>
      </c>
      <c r="D9" s="135">
        <v>761</v>
      </c>
      <c r="E9" s="135">
        <v>6.8775666999999999E-2</v>
      </c>
      <c r="F9" s="135">
        <v>109</v>
      </c>
      <c r="G9" s="135">
        <v>6.30969E-4</v>
      </c>
      <c r="H9" s="135"/>
      <c r="I9" s="141"/>
      <c r="J9" s="135" t="s">
        <v>228</v>
      </c>
      <c r="K9" s="135">
        <v>1106496</v>
      </c>
      <c r="L9" s="135">
        <v>3515</v>
      </c>
      <c r="M9" s="135">
        <v>0.31766947200000001</v>
      </c>
      <c r="N9" s="135">
        <v>351</v>
      </c>
      <c r="O9" s="135">
        <v>9.0504099999999998E-4</v>
      </c>
      <c r="P9" s="135"/>
      <c r="Q9" s="141"/>
      <c r="R9" s="135" t="s">
        <v>229</v>
      </c>
      <c r="S9" s="135">
        <v>1106496</v>
      </c>
      <c r="T9" s="135">
        <v>223740</v>
      </c>
      <c r="U9" s="135">
        <v>20.220588240000001</v>
      </c>
      <c r="V9" s="135">
        <v>787</v>
      </c>
      <c r="W9" s="135">
        <v>2.5693251E-2</v>
      </c>
      <c r="X9" s="135"/>
      <c r="Y9" s="141"/>
      <c r="Z9" s="135"/>
    </row>
    <row r="10" spans="2:26">
      <c r="B10" s="139" t="s">
        <v>229</v>
      </c>
      <c r="C10" s="135">
        <v>1106496</v>
      </c>
      <c r="D10" s="135">
        <v>795</v>
      </c>
      <c r="E10" s="135">
        <v>7.1848430000000005E-2</v>
      </c>
      <c r="F10" s="135">
        <v>117</v>
      </c>
      <c r="G10" s="135">
        <v>6.1408899999999995E-4</v>
      </c>
      <c r="H10" s="135"/>
      <c r="I10" s="141"/>
      <c r="J10" s="135" t="s">
        <v>229</v>
      </c>
      <c r="K10" s="135">
        <v>1106496</v>
      </c>
      <c r="L10" s="135">
        <v>7519</v>
      </c>
      <c r="M10" s="135">
        <v>0.67953250600000004</v>
      </c>
      <c r="N10" s="135">
        <v>452</v>
      </c>
      <c r="O10" s="135">
        <v>1.503391E-3</v>
      </c>
      <c r="P10" s="135"/>
      <c r="Q10" s="141"/>
      <c r="R10" s="135" t="s">
        <v>230</v>
      </c>
      <c r="S10" s="135">
        <v>1106496</v>
      </c>
      <c r="T10" s="135">
        <v>158019</v>
      </c>
      <c r="U10" s="135">
        <v>14.281027679999999</v>
      </c>
      <c r="V10" s="135">
        <v>543</v>
      </c>
      <c r="W10" s="135">
        <v>2.6300235000000002E-2</v>
      </c>
      <c r="X10" s="135"/>
      <c r="Y10" s="141"/>
      <c r="Z10" s="135"/>
    </row>
    <row r="11" spans="2:26">
      <c r="B11" s="139" t="s">
        <v>230</v>
      </c>
      <c r="C11" s="135">
        <v>1106496</v>
      </c>
      <c r="D11" s="135">
        <v>3235</v>
      </c>
      <c r="E11" s="135">
        <v>0.29236436500000001</v>
      </c>
      <c r="F11" s="135">
        <v>245</v>
      </c>
      <c r="G11" s="135">
        <v>1.1933239999999999E-3</v>
      </c>
      <c r="H11" s="135"/>
      <c r="I11" s="141"/>
      <c r="J11" s="135" t="s">
        <v>230</v>
      </c>
      <c r="K11" s="135">
        <v>1106496</v>
      </c>
      <c r="L11" s="135">
        <v>4235</v>
      </c>
      <c r="M11" s="135">
        <v>0.38273974799999999</v>
      </c>
      <c r="N11" s="135">
        <v>473</v>
      </c>
      <c r="O11" s="135">
        <v>8.0917499999999998E-4</v>
      </c>
      <c r="P11" s="135"/>
      <c r="Q11" s="141"/>
      <c r="R11" s="135" t="s">
        <v>231</v>
      </c>
      <c r="S11" s="135">
        <v>1106496</v>
      </c>
      <c r="T11" s="135">
        <v>153355</v>
      </c>
      <c r="U11" s="135">
        <v>13.85951689</v>
      </c>
      <c r="V11" s="135">
        <v>666</v>
      </c>
      <c r="W11" s="135">
        <v>2.0810084999999999E-2</v>
      </c>
      <c r="X11" s="135"/>
      <c r="Y11" s="141"/>
      <c r="Z11" s="135"/>
    </row>
    <row r="12" spans="2:26">
      <c r="B12" s="139" t="s">
        <v>231</v>
      </c>
      <c r="C12" s="135">
        <v>1106496</v>
      </c>
      <c r="D12" s="135">
        <v>3931</v>
      </c>
      <c r="E12" s="135">
        <v>0.35526563100000003</v>
      </c>
      <c r="F12" s="135">
        <v>242</v>
      </c>
      <c r="G12" s="135">
        <v>1.4680400000000001E-3</v>
      </c>
      <c r="H12" s="135"/>
      <c r="I12" s="141"/>
      <c r="J12" s="135" t="s">
        <v>231</v>
      </c>
      <c r="K12" s="135">
        <v>1106496</v>
      </c>
      <c r="L12" s="135">
        <v>4095</v>
      </c>
      <c r="M12" s="135">
        <v>0.37008719400000001</v>
      </c>
      <c r="N12" s="135">
        <v>366</v>
      </c>
      <c r="O12" s="135">
        <v>1.0111670000000001E-3</v>
      </c>
      <c r="P12" s="135"/>
      <c r="Q12" s="141"/>
      <c r="R12" s="135" t="s">
        <v>232</v>
      </c>
      <c r="S12" s="135">
        <v>1106496</v>
      </c>
      <c r="T12" s="135">
        <v>225812</v>
      </c>
      <c r="U12" s="135">
        <v>20.407846030000002</v>
      </c>
      <c r="V12" s="135">
        <v>798</v>
      </c>
      <c r="W12" s="135">
        <v>2.5573742E-2</v>
      </c>
      <c r="X12" s="135"/>
      <c r="Y12" s="141"/>
      <c r="Z12" s="135"/>
    </row>
    <row r="13" spans="2:26">
      <c r="B13" s="139" t="s">
        <v>232</v>
      </c>
      <c r="C13" s="135">
        <v>1106496</v>
      </c>
      <c r="D13" s="135">
        <v>2392</v>
      </c>
      <c r="E13" s="135">
        <v>0.216177917</v>
      </c>
      <c r="F13" s="135">
        <v>194</v>
      </c>
      <c r="G13" s="135">
        <v>1.1143189999999999E-3</v>
      </c>
      <c r="H13" s="135"/>
      <c r="I13" s="141"/>
      <c r="J13" s="135" t="s">
        <v>232</v>
      </c>
      <c r="K13" s="135">
        <v>1106496</v>
      </c>
      <c r="L13" s="135">
        <v>6329</v>
      </c>
      <c r="M13" s="135">
        <v>0.57198579999999999</v>
      </c>
      <c r="N13" s="135">
        <v>374</v>
      </c>
      <c r="O13" s="135">
        <v>1.529374E-3</v>
      </c>
      <c r="P13" s="135"/>
      <c r="Q13" s="141"/>
      <c r="R13" s="142" t="s">
        <v>62</v>
      </c>
      <c r="S13" s="142"/>
      <c r="T13" s="142"/>
      <c r="U13" s="142">
        <v>16.228135179999999</v>
      </c>
      <c r="V13" s="142">
        <v>671.33333330000005</v>
      </c>
      <c r="W13" s="142">
        <v>2.4272674000000001E-2</v>
      </c>
      <c r="X13" s="135"/>
      <c r="Y13" s="141"/>
      <c r="Z13" s="135"/>
    </row>
    <row r="14" spans="2:26">
      <c r="B14" s="143" t="s">
        <v>62</v>
      </c>
      <c r="C14" s="142"/>
      <c r="D14" s="142"/>
      <c r="E14" s="142">
        <v>0.32158573899999998</v>
      </c>
      <c r="F14" s="142"/>
      <c r="G14" s="142">
        <v>1.4872189999999999E-3</v>
      </c>
      <c r="H14" s="135"/>
      <c r="I14" s="141"/>
      <c r="J14" s="142" t="s">
        <v>62</v>
      </c>
      <c r="K14" s="142"/>
      <c r="L14" s="142"/>
      <c r="M14" s="142">
        <v>0.578834246</v>
      </c>
      <c r="N14" s="142"/>
      <c r="O14" s="142">
        <v>1.576809E-3</v>
      </c>
      <c r="P14" s="135"/>
      <c r="Q14" s="141"/>
      <c r="R14" s="135" t="s">
        <v>233</v>
      </c>
      <c r="S14" s="135">
        <v>1106496</v>
      </c>
      <c r="T14" s="135">
        <v>111808</v>
      </c>
      <c r="U14" s="135">
        <v>10.10469084</v>
      </c>
      <c r="V14" s="135">
        <v>552</v>
      </c>
      <c r="W14" s="135">
        <v>1.8305598999999999E-2</v>
      </c>
      <c r="X14" s="135"/>
      <c r="Y14" s="141"/>
      <c r="Z14" s="135"/>
    </row>
    <row r="15" spans="2:26">
      <c r="B15" s="139" t="s">
        <v>233</v>
      </c>
      <c r="C15" s="135">
        <v>1106496</v>
      </c>
      <c r="D15" s="135">
        <v>920</v>
      </c>
      <c r="E15" s="135">
        <v>8.3145353000000005E-2</v>
      </c>
      <c r="F15" s="135">
        <v>368</v>
      </c>
      <c r="G15" s="135">
        <v>2.2593799999999999E-4</v>
      </c>
      <c r="H15" s="135"/>
      <c r="I15" s="141"/>
      <c r="J15" s="135" t="s">
        <v>233</v>
      </c>
      <c r="K15" s="135">
        <v>1106496</v>
      </c>
      <c r="L15" s="135">
        <v>411</v>
      </c>
      <c r="M15" s="135">
        <v>3.7144282000000001E-2</v>
      </c>
      <c r="N15" s="135">
        <v>373</v>
      </c>
      <c r="O15" s="135">
        <v>9.9582500000000004E-5</v>
      </c>
      <c r="P15" s="135"/>
      <c r="Q15" s="141"/>
      <c r="R15" s="135" t="s">
        <v>234</v>
      </c>
      <c r="S15" s="135">
        <v>1106496</v>
      </c>
      <c r="T15" s="135">
        <v>59553</v>
      </c>
      <c r="U15" s="135">
        <v>5.3821251950000004</v>
      </c>
      <c r="V15" s="135">
        <v>447</v>
      </c>
      <c r="W15" s="135">
        <v>1.2040548999999999E-2</v>
      </c>
      <c r="X15" s="135"/>
      <c r="Y15" s="141"/>
      <c r="Z15" s="135"/>
    </row>
    <row r="16" spans="2:26">
      <c r="B16" s="139" t="s">
        <v>234</v>
      </c>
      <c r="C16" s="135">
        <v>1106496</v>
      </c>
      <c r="D16" s="135">
        <v>1939</v>
      </c>
      <c r="E16" s="135">
        <v>0.17523786799999999</v>
      </c>
      <c r="F16" s="135">
        <v>334</v>
      </c>
      <c r="G16" s="135">
        <v>5.2466399999999999E-4</v>
      </c>
      <c r="H16" s="135"/>
      <c r="I16" s="141"/>
      <c r="J16" s="135" t="s">
        <v>234</v>
      </c>
      <c r="K16" s="135">
        <v>1106496</v>
      </c>
      <c r="L16" s="135">
        <v>1483</v>
      </c>
      <c r="M16" s="135">
        <v>0.134026693</v>
      </c>
      <c r="N16" s="135">
        <v>330</v>
      </c>
      <c r="O16" s="135">
        <v>4.06141E-4</v>
      </c>
      <c r="P16" s="135"/>
      <c r="Q16" s="141"/>
      <c r="R16" s="135" t="s">
        <v>235</v>
      </c>
      <c r="S16" s="135">
        <v>1106496</v>
      </c>
      <c r="T16" s="135">
        <v>10811</v>
      </c>
      <c r="U16" s="135">
        <v>0.977048268</v>
      </c>
      <c r="V16" s="135">
        <v>114</v>
      </c>
      <c r="W16" s="135">
        <v>8.5705989999999999E-3</v>
      </c>
      <c r="X16" s="135"/>
      <c r="Y16" s="141"/>
      <c r="Z16" s="135"/>
    </row>
    <row r="17" spans="2:26">
      <c r="B17" s="139" t="s">
        <v>235</v>
      </c>
      <c r="C17" s="135">
        <v>1106496</v>
      </c>
      <c r="D17" s="135">
        <v>488</v>
      </c>
      <c r="E17" s="135">
        <v>4.4103187000000002E-2</v>
      </c>
      <c r="F17" s="135">
        <v>330</v>
      </c>
      <c r="G17" s="135">
        <v>1.3364599999999999E-4</v>
      </c>
      <c r="H17" s="135"/>
      <c r="I17" s="141"/>
      <c r="J17" s="135" t="s">
        <v>235</v>
      </c>
      <c r="K17" s="135">
        <v>1106496</v>
      </c>
      <c r="L17" s="135">
        <v>1583</v>
      </c>
      <c r="M17" s="135">
        <v>0.14306423200000001</v>
      </c>
      <c r="N17" s="135">
        <v>403</v>
      </c>
      <c r="O17" s="135">
        <v>3.5499799999999998E-4</v>
      </c>
      <c r="P17" s="135"/>
      <c r="Q17" s="141"/>
      <c r="R17" s="135" t="s">
        <v>236</v>
      </c>
      <c r="S17" s="135">
        <v>1106496</v>
      </c>
      <c r="T17" s="135">
        <v>38624</v>
      </c>
      <c r="U17" s="135">
        <v>3.4906587999999998</v>
      </c>
      <c r="V17" s="135">
        <v>380</v>
      </c>
      <c r="W17" s="135">
        <v>9.1859439999999997E-3</v>
      </c>
      <c r="X17" s="135"/>
      <c r="Y17" s="141"/>
      <c r="Z17" s="135"/>
    </row>
    <row r="18" spans="2:26">
      <c r="B18" s="139" t="s">
        <v>236</v>
      </c>
      <c r="C18" s="135">
        <v>1106496</v>
      </c>
      <c r="D18" s="135">
        <v>928</v>
      </c>
      <c r="E18" s="135">
        <v>8.3868356000000005E-2</v>
      </c>
      <c r="F18" s="135">
        <v>386</v>
      </c>
      <c r="G18" s="135">
        <v>2.17276E-4</v>
      </c>
      <c r="H18" s="135"/>
      <c r="I18" s="141"/>
      <c r="J18" s="135" t="s">
        <v>236</v>
      </c>
      <c r="K18" s="135">
        <v>1106496</v>
      </c>
      <c r="L18" s="135">
        <v>1493</v>
      </c>
      <c r="M18" s="135">
        <v>0.13493044700000001</v>
      </c>
      <c r="N18" s="135">
        <v>401</v>
      </c>
      <c r="O18" s="135">
        <v>3.3648499999999997E-4</v>
      </c>
      <c r="P18" s="135"/>
      <c r="Q18" s="141"/>
      <c r="R18" s="135" t="s">
        <v>237</v>
      </c>
      <c r="S18" s="135">
        <v>1106496</v>
      </c>
      <c r="T18" s="135">
        <v>9483</v>
      </c>
      <c r="U18" s="135">
        <v>0.857029759</v>
      </c>
      <c r="V18" s="135">
        <v>93</v>
      </c>
      <c r="W18" s="135">
        <v>9.2153740000000001E-3</v>
      </c>
      <c r="X18" s="135"/>
      <c r="Y18" s="141"/>
      <c r="Z18" s="135"/>
    </row>
    <row r="19" spans="2:26">
      <c r="B19" s="139" t="s">
        <v>237</v>
      </c>
      <c r="C19" s="135">
        <v>1106496</v>
      </c>
      <c r="D19" s="135">
        <v>795</v>
      </c>
      <c r="E19" s="135">
        <v>7.1848430000000005E-2</v>
      </c>
      <c r="F19" s="135">
        <v>363</v>
      </c>
      <c r="G19" s="135">
        <v>1.9793E-4</v>
      </c>
      <c r="H19" s="135"/>
      <c r="I19" s="141"/>
      <c r="J19" s="135" t="s">
        <v>237</v>
      </c>
      <c r="K19" s="135">
        <v>1106496</v>
      </c>
      <c r="L19" s="135">
        <v>595</v>
      </c>
      <c r="M19" s="135">
        <v>5.3773353000000003E-2</v>
      </c>
      <c r="N19" s="135">
        <v>358</v>
      </c>
      <c r="O19" s="135">
        <v>1.5020499999999999E-4</v>
      </c>
      <c r="P19" s="135"/>
      <c r="Q19" s="141"/>
      <c r="R19" s="135" t="s">
        <v>238</v>
      </c>
      <c r="S19" s="135">
        <v>1106496</v>
      </c>
      <c r="T19" s="135">
        <v>45432</v>
      </c>
      <c r="U19" s="135">
        <v>4.1059344089999996</v>
      </c>
      <c r="V19" s="135">
        <v>456</v>
      </c>
      <c r="W19" s="135">
        <v>9.0042420000000008E-3</v>
      </c>
      <c r="X19" s="135"/>
      <c r="Y19" s="141"/>
      <c r="Z19" s="135"/>
    </row>
    <row r="20" spans="2:26">
      <c r="B20" s="139" t="s">
        <v>238</v>
      </c>
      <c r="C20" s="135">
        <v>1106496</v>
      </c>
      <c r="D20" s="135">
        <v>117</v>
      </c>
      <c r="E20" s="135">
        <v>1.0573920000000001E-2</v>
      </c>
      <c r="F20" s="135">
        <v>328</v>
      </c>
      <c r="G20" s="135">
        <v>3.2237599999999998E-5</v>
      </c>
      <c r="H20" s="135"/>
      <c r="I20" s="141"/>
      <c r="J20" s="135" t="s">
        <v>238</v>
      </c>
      <c r="K20" s="135">
        <v>1106496</v>
      </c>
      <c r="L20" s="135">
        <v>2096</v>
      </c>
      <c r="M20" s="135">
        <v>0.189426803</v>
      </c>
      <c r="N20" s="135">
        <v>451</v>
      </c>
      <c r="O20" s="135">
        <v>4.2001499999999998E-4</v>
      </c>
      <c r="P20" s="135"/>
      <c r="Q20" s="141"/>
      <c r="R20" s="135" t="s">
        <v>239</v>
      </c>
      <c r="S20" s="135">
        <v>1106496</v>
      </c>
      <c r="T20" s="135">
        <v>64463</v>
      </c>
      <c r="U20" s="135">
        <v>5.8258683270000002</v>
      </c>
      <c r="V20" s="135">
        <v>593</v>
      </c>
      <c r="W20" s="135">
        <v>9.8243989999999993E-3</v>
      </c>
      <c r="X20" s="135"/>
      <c r="Y20" s="141"/>
      <c r="Z20" s="135"/>
    </row>
    <row r="21" spans="2:26">
      <c r="B21" s="139" t="s">
        <v>239</v>
      </c>
      <c r="C21" s="135">
        <v>1106496</v>
      </c>
      <c r="D21" s="135">
        <v>946</v>
      </c>
      <c r="E21" s="135">
        <v>8.5495111999999998E-2</v>
      </c>
      <c r="F21" s="135">
        <v>453</v>
      </c>
      <c r="G21" s="135">
        <v>1.8873100000000001E-4</v>
      </c>
      <c r="H21" s="135"/>
      <c r="I21" s="141"/>
      <c r="J21" s="135" t="s">
        <v>239</v>
      </c>
      <c r="K21" s="135">
        <v>1106496</v>
      </c>
      <c r="L21" s="135">
        <v>795</v>
      </c>
      <c r="M21" s="135">
        <v>7.1848430000000005E-2</v>
      </c>
      <c r="N21" s="135">
        <v>405</v>
      </c>
      <c r="O21" s="135">
        <v>1.7740400000000001E-4</v>
      </c>
      <c r="P21" s="135"/>
      <c r="Q21" s="141"/>
      <c r="R21" s="135" t="s">
        <v>240</v>
      </c>
      <c r="S21" s="135">
        <v>1106496</v>
      </c>
      <c r="T21" s="135">
        <v>89890</v>
      </c>
      <c r="U21" s="135">
        <v>8.1238431949999992</v>
      </c>
      <c r="V21" s="135">
        <v>688</v>
      </c>
      <c r="W21" s="135">
        <v>1.1807912E-2</v>
      </c>
      <c r="X21" s="135"/>
      <c r="Y21" s="141"/>
      <c r="Z21" s="135"/>
    </row>
    <row r="22" spans="2:26">
      <c r="B22" s="139" t="s">
        <v>240</v>
      </c>
      <c r="C22" s="135">
        <v>1106496</v>
      </c>
      <c r="D22" s="135">
        <v>2004</v>
      </c>
      <c r="E22" s="135">
        <v>0.18111226799999999</v>
      </c>
      <c r="F22" s="135">
        <v>436</v>
      </c>
      <c r="G22" s="135">
        <v>4.1539499999999999E-4</v>
      </c>
      <c r="H22" s="135"/>
      <c r="I22" s="141"/>
      <c r="J22" s="135" t="s">
        <v>240</v>
      </c>
      <c r="K22" s="135">
        <v>1106496</v>
      </c>
      <c r="L22" s="135">
        <v>2012</v>
      </c>
      <c r="M22" s="135">
        <v>0.18183527099999999</v>
      </c>
      <c r="N22" s="135">
        <v>463</v>
      </c>
      <c r="O22" s="135">
        <v>3.9273299999999998E-4</v>
      </c>
      <c r="P22" s="135"/>
      <c r="Q22" s="141"/>
      <c r="R22" s="135" t="s">
        <v>241</v>
      </c>
      <c r="S22" s="135">
        <v>1106496</v>
      </c>
      <c r="T22" s="135">
        <v>74406</v>
      </c>
      <c r="U22" s="135">
        <v>6.7244707620000002</v>
      </c>
      <c r="V22" s="135">
        <v>704</v>
      </c>
      <c r="W22" s="135">
        <v>9.551805E-3</v>
      </c>
      <c r="X22" s="135"/>
      <c r="Y22" s="141"/>
      <c r="Z22" s="135"/>
    </row>
    <row r="23" spans="2:26">
      <c r="B23" s="139" t="s">
        <v>241</v>
      </c>
      <c r="C23" s="135">
        <v>1106496</v>
      </c>
      <c r="D23" s="135">
        <v>225</v>
      </c>
      <c r="E23" s="135">
        <v>2.0334461000000002E-2</v>
      </c>
      <c r="F23" s="135">
        <v>426</v>
      </c>
      <c r="G23" s="135">
        <v>4.77335E-5</v>
      </c>
      <c r="H23" s="135"/>
      <c r="I23" s="141"/>
      <c r="J23" s="135" t="s">
        <v>241</v>
      </c>
      <c r="K23" s="135">
        <v>1106496</v>
      </c>
      <c r="L23" s="135">
        <v>3303</v>
      </c>
      <c r="M23" s="135">
        <v>0.29850989100000003</v>
      </c>
      <c r="N23" s="135">
        <v>2302</v>
      </c>
      <c r="O23" s="135">
        <v>1.2967400000000001E-4</v>
      </c>
      <c r="P23" s="135"/>
      <c r="Q23" s="141"/>
      <c r="R23" s="135" t="s">
        <v>242</v>
      </c>
      <c r="S23" s="135">
        <v>1106496</v>
      </c>
      <c r="T23" s="135">
        <v>72101</v>
      </c>
      <c r="U23" s="135">
        <v>6.5161555030000002</v>
      </c>
      <c r="V23" s="135">
        <v>674</v>
      </c>
      <c r="W23" s="135">
        <v>9.667887E-3</v>
      </c>
      <c r="X23" s="135"/>
      <c r="Y23" s="141"/>
      <c r="Z23" s="135"/>
    </row>
    <row r="24" spans="2:26">
      <c r="B24" s="139" t="s">
        <v>242</v>
      </c>
      <c r="C24" s="135">
        <v>1106496</v>
      </c>
      <c r="D24" s="135">
        <v>174</v>
      </c>
      <c r="E24" s="135">
        <v>1.5725316999999999E-2</v>
      </c>
      <c r="F24" s="135">
        <v>363</v>
      </c>
      <c r="G24" s="135">
        <v>4.3320399999999999E-5</v>
      </c>
      <c r="H24" s="135"/>
      <c r="I24" s="141"/>
      <c r="J24" s="135" t="s">
        <v>242</v>
      </c>
      <c r="K24" s="135">
        <v>1106496</v>
      </c>
      <c r="L24" s="135">
        <v>2453</v>
      </c>
      <c r="M24" s="135">
        <v>0.22169081500000001</v>
      </c>
      <c r="N24" s="135">
        <v>405</v>
      </c>
      <c r="O24" s="135">
        <v>5.4738499999999995E-4</v>
      </c>
      <c r="P24" s="135"/>
      <c r="Q24" s="141"/>
      <c r="R24" s="142" t="s">
        <v>62</v>
      </c>
      <c r="S24" s="142"/>
      <c r="T24" s="142"/>
      <c r="U24" s="142">
        <v>5.2107825060000001</v>
      </c>
      <c r="V24" s="142">
        <v>470.1</v>
      </c>
      <c r="W24" s="142">
        <v>1.0717430999999999E-2</v>
      </c>
      <c r="X24" s="135"/>
      <c r="Y24" s="141"/>
      <c r="Z24" s="135"/>
    </row>
    <row r="25" spans="2:26">
      <c r="B25" s="143" t="s">
        <v>62</v>
      </c>
      <c r="C25" s="142"/>
      <c r="D25" s="142"/>
      <c r="E25" s="142">
        <v>7.7144427000000002E-2</v>
      </c>
      <c r="F25" s="142"/>
      <c r="G25" s="142">
        <v>2.0268700000000001E-4</v>
      </c>
      <c r="H25" s="135"/>
      <c r="I25" s="141"/>
      <c r="J25" s="142" t="s">
        <v>62</v>
      </c>
      <c r="K25" s="142"/>
      <c r="L25" s="142"/>
      <c r="M25" s="142">
        <v>0.14662502199999999</v>
      </c>
      <c r="N25" s="142"/>
      <c r="O25" s="142">
        <v>3.0146200000000001E-4</v>
      </c>
      <c r="P25" s="135"/>
      <c r="Q25" s="141"/>
      <c r="R25" s="135" t="s">
        <v>243</v>
      </c>
      <c r="S25" s="135">
        <v>1106496</v>
      </c>
      <c r="T25" s="135">
        <v>94897</v>
      </c>
      <c r="U25" s="135">
        <v>8.5763527390000007</v>
      </c>
      <c r="V25" s="135">
        <v>573</v>
      </c>
      <c r="W25" s="135">
        <v>1.4967457E-2</v>
      </c>
      <c r="X25" s="135"/>
      <c r="Y25" s="141"/>
      <c r="Z25" s="135"/>
    </row>
    <row r="26" spans="2:26">
      <c r="B26" s="139" t="s">
        <v>243</v>
      </c>
      <c r="C26" s="135">
        <v>1106496</v>
      </c>
      <c r="D26" s="135">
        <v>2135</v>
      </c>
      <c r="E26" s="135">
        <v>0.192951443</v>
      </c>
      <c r="F26" s="135">
        <v>243</v>
      </c>
      <c r="G26" s="135">
        <v>7.9403899999999996E-4</v>
      </c>
      <c r="H26" s="135"/>
      <c r="I26" s="141"/>
      <c r="J26" s="135" t="s">
        <v>243</v>
      </c>
      <c r="K26" s="135">
        <v>1106496</v>
      </c>
      <c r="L26" s="135">
        <v>10875</v>
      </c>
      <c r="M26" s="135">
        <v>0.982832292</v>
      </c>
      <c r="N26" s="135">
        <v>429</v>
      </c>
      <c r="O26" s="135">
        <v>2.2909839999999998E-3</v>
      </c>
      <c r="P26" s="135"/>
      <c r="Q26" s="141"/>
      <c r="R26" s="135" t="s">
        <v>244</v>
      </c>
      <c r="S26" s="135">
        <v>1106496</v>
      </c>
      <c r="T26" s="135">
        <v>157103</v>
      </c>
      <c r="U26" s="135">
        <v>14.198243829999999</v>
      </c>
      <c r="V26" s="135">
        <v>775</v>
      </c>
      <c r="W26" s="135">
        <v>1.8320315E-2</v>
      </c>
      <c r="X26" s="135"/>
      <c r="Y26" s="141"/>
      <c r="Z26" s="135"/>
    </row>
    <row r="27" spans="2:26">
      <c r="B27" s="139" t="s">
        <v>244</v>
      </c>
      <c r="C27" s="135">
        <v>1106496</v>
      </c>
      <c r="D27" s="135">
        <v>1926</v>
      </c>
      <c r="E27" s="135">
        <v>0.174062988</v>
      </c>
      <c r="F27" s="135">
        <v>316</v>
      </c>
      <c r="G27" s="135">
        <v>5.5083200000000001E-4</v>
      </c>
      <c r="H27" s="135"/>
      <c r="I27" s="141"/>
      <c r="J27" s="135" t="s">
        <v>244</v>
      </c>
      <c r="K27" s="135">
        <v>1106496</v>
      </c>
      <c r="L27" s="135">
        <v>3901</v>
      </c>
      <c r="M27" s="135">
        <v>0.35255437000000001</v>
      </c>
      <c r="N27" s="135">
        <v>443</v>
      </c>
      <c r="O27" s="135">
        <v>7.9583400000000004E-4</v>
      </c>
      <c r="P27" s="135"/>
      <c r="Q27" s="141"/>
      <c r="R27" s="135" t="s">
        <v>245</v>
      </c>
      <c r="S27" s="135">
        <v>1106496</v>
      </c>
      <c r="T27" s="135">
        <v>107407</v>
      </c>
      <c r="U27" s="135">
        <v>9.7069487819999996</v>
      </c>
      <c r="V27" s="135">
        <v>803</v>
      </c>
      <c r="W27" s="135">
        <v>1.2088355E-2</v>
      </c>
      <c r="X27" s="135"/>
      <c r="Y27" s="141"/>
      <c r="Z27" s="135"/>
    </row>
    <row r="28" spans="2:26">
      <c r="B28" s="139" t="s">
        <v>245</v>
      </c>
      <c r="C28" s="135">
        <v>1106496</v>
      </c>
      <c r="D28" s="135">
        <v>628</v>
      </c>
      <c r="E28" s="135">
        <v>5.6755740999999998E-2</v>
      </c>
      <c r="F28" s="135">
        <v>222</v>
      </c>
      <c r="G28" s="135">
        <v>2.5565599999999999E-4</v>
      </c>
      <c r="H28" s="135"/>
      <c r="I28" s="141"/>
      <c r="J28" s="135" t="s">
        <v>245</v>
      </c>
      <c r="K28" s="135">
        <v>1106496</v>
      </c>
      <c r="L28" s="135">
        <v>2597</v>
      </c>
      <c r="M28" s="135">
        <v>0.23470487000000001</v>
      </c>
      <c r="N28" s="135">
        <v>424</v>
      </c>
      <c r="O28" s="135">
        <v>5.5354899999999997E-4</v>
      </c>
      <c r="P28" s="135"/>
      <c r="Q28" s="141"/>
      <c r="R28" s="135" t="s">
        <v>246</v>
      </c>
      <c r="S28" s="135">
        <v>1106496</v>
      </c>
      <c r="T28" s="135">
        <v>100823</v>
      </c>
      <c r="U28" s="135">
        <v>9.1119172600000002</v>
      </c>
      <c r="V28" s="135">
        <v>453</v>
      </c>
      <c r="W28" s="135">
        <v>2.0114607999999999E-2</v>
      </c>
      <c r="X28" s="135"/>
      <c r="Y28" s="141"/>
      <c r="Z28" s="135"/>
    </row>
    <row r="29" spans="2:26">
      <c r="B29" s="139" t="s">
        <v>246</v>
      </c>
      <c r="C29" s="135">
        <v>1106496</v>
      </c>
      <c r="D29" s="135">
        <v>5585</v>
      </c>
      <c r="E29" s="135">
        <v>0.50474651500000001</v>
      </c>
      <c r="F29" s="135">
        <v>301</v>
      </c>
      <c r="G29" s="135">
        <v>1.6768989999999999E-3</v>
      </c>
      <c r="H29" s="135"/>
      <c r="I29" s="141"/>
      <c r="J29" s="135" t="s">
        <v>246</v>
      </c>
      <c r="K29" s="135">
        <v>1106496</v>
      </c>
      <c r="L29" s="135">
        <v>18298</v>
      </c>
      <c r="M29" s="135">
        <v>1.653688762</v>
      </c>
      <c r="N29" s="135">
        <v>413</v>
      </c>
      <c r="O29" s="135">
        <v>4.0040889999999997E-3</v>
      </c>
      <c r="P29" s="135"/>
      <c r="Q29" s="141"/>
      <c r="R29" s="135" t="s">
        <v>247</v>
      </c>
      <c r="S29" s="135">
        <v>1106496</v>
      </c>
      <c r="T29" s="135">
        <v>181325</v>
      </c>
      <c r="U29" s="135">
        <v>16.38731636</v>
      </c>
      <c r="V29" s="135">
        <v>841</v>
      </c>
      <c r="W29" s="135">
        <v>1.9485512999999999E-2</v>
      </c>
      <c r="X29" s="135"/>
      <c r="Y29" s="141"/>
      <c r="Z29" s="135"/>
    </row>
    <row r="30" spans="2:26">
      <c r="B30" s="139" t="s">
        <v>247</v>
      </c>
      <c r="C30" s="135">
        <v>1106496</v>
      </c>
      <c r="D30" s="135">
        <v>1971</v>
      </c>
      <c r="E30" s="135">
        <v>0.17812987999999999</v>
      </c>
      <c r="F30" s="135">
        <v>296</v>
      </c>
      <c r="G30" s="135">
        <v>6.0179000000000005E-4</v>
      </c>
      <c r="H30" s="135"/>
      <c r="I30" s="141"/>
      <c r="J30" s="135" t="s">
        <v>247</v>
      </c>
      <c r="K30" s="135">
        <v>1106496</v>
      </c>
      <c r="L30" s="135">
        <v>4182</v>
      </c>
      <c r="M30" s="135">
        <v>0.377949853</v>
      </c>
      <c r="N30" s="135">
        <v>406</v>
      </c>
      <c r="O30" s="135">
        <v>9.3091099999999998E-4</v>
      </c>
      <c r="P30" s="135"/>
      <c r="Q30" s="141"/>
      <c r="R30" s="135" t="s">
        <v>248</v>
      </c>
      <c r="S30" s="135">
        <v>1106496</v>
      </c>
      <c r="T30" s="135">
        <v>197351</v>
      </c>
      <c r="U30" s="135">
        <v>17.835672249999998</v>
      </c>
      <c r="V30" s="135">
        <v>756</v>
      </c>
      <c r="W30" s="135">
        <v>2.3592159000000001E-2</v>
      </c>
      <c r="X30" s="135"/>
      <c r="Y30" s="141"/>
      <c r="Z30" s="135"/>
    </row>
    <row r="31" spans="2:26">
      <c r="B31" s="139" t="s">
        <v>248</v>
      </c>
      <c r="C31" s="135">
        <v>1106496</v>
      </c>
      <c r="D31" s="135">
        <v>2608</v>
      </c>
      <c r="E31" s="135">
        <v>0.23569899899999999</v>
      </c>
      <c r="F31" s="135">
        <v>195</v>
      </c>
      <c r="G31" s="135">
        <v>1.2087129999999999E-3</v>
      </c>
      <c r="H31" s="135"/>
      <c r="I31" s="141"/>
      <c r="J31" s="135" t="s">
        <v>248</v>
      </c>
      <c r="K31" s="135">
        <v>1106496</v>
      </c>
      <c r="L31" s="135">
        <v>3007</v>
      </c>
      <c r="M31" s="135">
        <v>0.27175877700000001</v>
      </c>
      <c r="N31" s="135">
        <v>338</v>
      </c>
      <c r="O31" s="135">
        <v>8.0402000000000002E-4</v>
      </c>
      <c r="P31" s="135"/>
      <c r="Q31" s="141"/>
      <c r="R31" s="135" t="s">
        <v>249</v>
      </c>
      <c r="S31" s="135">
        <v>1106496</v>
      </c>
      <c r="T31" s="135">
        <v>223555</v>
      </c>
      <c r="U31" s="135">
        <v>20.203868790000001</v>
      </c>
      <c r="V31" s="144">
        <v>761</v>
      </c>
      <c r="W31" s="135">
        <v>2.6549105E-2</v>
      </c>
      <c r="X31" s="135"/>
      <c r="Y31" s="141"/>
      <c r="Z31" s="135"/>
    </row>
    <row r="32" spans="2:26">
      <c r="B32" s="139" t="s">
        <v>249</v>
      </c>
      <c r="C32" s="135">
        <v>1106496</v>
      </c>
      <c r="D32" s="135">
        <v>2600</v>
      </c>
      <c r="E32" s="135">
        <v>0.23497599599999999</v>
      </c>
      <c r="F32" s="144">
        <v>218</v>
      </c>
      <c r="G32" s="135">
        <v>1.0778719999999999E-3</v>
      </c>
      <c r="H32" s="135"/>
      <c r="I32" s="141"/>
      <c r="J32" s="135" t="s">
        <v>249</v>
      </c>
      <c r="K32" s="135">
        <v>1106496</v>
      </c>
      <c r="L32" s="135">
        <v>5789</v>
      </c>
      <c r="M32" s="135">
        <v>0.52318309299999999</v>
      </c>
      <c r="N32" s="144">
        <v>404</v>
      </c>
      <c r="O32" s="135">
        <v>1.2950080000000001E-3</v>
      </c>
      <c r="P32" s="135"/>
      <c r="Q32" s="141"/>
      <c r="R32" s="135" t="s">
        <v>250</v>
      </c>
      <c r="S32" s="144">
        <v>1106496</v>
      </c>
      <c r="T32" s="144">
        <v>156368</v>
      </c>
      <c r="U32" s="144">
        <v>14.13181792</v>
      </c>
      <c r="V32" s="144">
        <v>1024</v>
      </c>
      <c r="W32" s="144">
        <v>1.3800603E-2</v>
      </c>
      <c r="X32" s="135"/>
      <c r="Y32" s="141"/>
      <c r="Z32" s="135"/>
    </row>
    <row r="33" spans="2:26">
      <c r="B33" s="139" t="s">
        <v>250</v>
      </c>
      <c r="C33" s="144">
        <v>1106496</v>
      </c>
      <c r="D33" s="144">
        <v>1502</v>
      </c>
      <c r="E33" s="144">
        <v>0.13574382600000001</v>
      </c>
      <c r="F33" s="144">
        <v>231</v>
      </c>
      <c r="G33" s="144">
        <v>5.87636E-4</v>
      </c>
      <c r="H33" s="135"/>
      <c r="I33" s="141"/>
      <c r="J33" s="135" t="s">
        <v>250</v>
      </c>
      <c r="K33" s="144">
        <v>1106496</v>
      </c>
      <c r="L33" s="144">
        <v>2242</v>
      </c>
      <c r="M33" s="144">
        <v>0.20262160900000001</v>
      </c>
      <c r="N33" s="144">
        <v>427</v>
      </c>
      <c r="O33" s="144">
        <v>4.7452399999999999E-4</v>
      </c>
      <c r="P33" s="135"/>
      <c r="Q33" s="141"/>
      <c r="R33" s="135" t="s">
        <v>251</v>
      </c>
      <c r="S33" s="144">
        <v>1106496</v>
      </c>
      <c r="T33" s="144">
        <v>136771</v>
      </c>
      <c r="U33" s="144">
        <v>12.360731530000001</v>
      </c>
      <c r="V33" s="144">
        <v>905</v>
      </c>
      <c r="W33" s="144">
        <v>1.3658267E-2</v>
      </c>
      <c r="X33" s="135"/>
      <c r="Y33" s="141"/>
      <c r="Z33" s="135"/>
    </row>
    <row r="34" spans="2:26">
      <c r="B34" s="139" t="s">
        <v>251</v>
      </c>
      <c r="C34" s="144">
        <v>1106496</v>
      </c>
      <c r="D34" s="144">
        <v>4830</v>
      </c>
      <c r="E34" s="144">
        <v>0.43651310100000001</v>
      </c>
      <c r="F34" s="144">
        <v>325</v>
      </c>
      <c r="G34" s="144">
        <v>1.343117E-3</v>
      </c>
      <c r="H34" s="135"/>
      <c r="I34" s="141"/>
      <c r="J34" s="135" t="s">
        <v>251</v>
      </c>
      <c r="K34" s="144">
        <v>1106496</v>
      </c>
      <c r="L34" s="144">
        <v>4841</v>
      </c>
      <c r="M34" s="144">
        <v>0.43750723000000002</v>
      </c>
      <c r="N34" s="144">
        <v>384</v>
      </c>
      <c r="O34" s="144">
        <v>1.139342E-3</v>
      </c>
      <c r="P34" s="135"/>
      <c r="Q34" s="141"/>
      <c r="R34" s="135" t="s">
        <v>252</v>
      </c>
      <c r="S34" s="144">
        <v>1106496</v>
      </c>
      <c r="T34" s="144">
        <v>162071</v>
      </c>
      <c r="U34" s="144">
        <v>14.64722873</v>
      </c>
      <c r="V34" s="144">
        <v>818</v>
      </c>
      <c r="W34" s="144">
        <v>1.7906148E-2</v>
      </c>
      <c r="X34" s="135"/>
      <c r="Y34" s="141"/>
      <c r="Z34" s="135"/>
    </row>
    <row r="35" spans="2:26">
      <c r="B35" s="139" t="s">
        <v>252</v>
      </c>
      <c r="C35" s="144">
        <v>1106496</v>
      </c>
      <c r="D35" s="144">
        <v>1420</v>
      </c>
      <c r="E35" s="144">
        <v>0.12833304400000001</v>
      </c>
      <c r="F35" s="144">
        <v>261</v>
      </c>
      <c r="G35" s="144">
        <v>4.9169700000000003E-4</v>
      </c>
      <c r="H35" s="135"/>
      <c r="I35" s="141"/>
      <c r="J35" s="135" t="s">
        <v>252</v>
      </c>
      <c r="K35" s="144">
        <v>1106496</v>
      </c>
      <c r="L35" s="144">
        <v>3954</v>
      </c>
      <c r="M35" s="144">
        <v>0.35734426499999999</v>
      </c>
      <c r="N35" s="144">
        <v>417</v>
      </c>
      <c r="O35" s="144">
        <v>8.5694099999999995E-4</v>
      </c>
      <c r="P35" s="135"/>
      <c r="Q35" s="141"/>
      <c r="R35" s="142" t="s">
        <v>62</v>
      </c>
      <c r="S35" s="142"/>
      <c r="T35" s="142"/>
      <c r="U35" s="142">
        <v>13.71600982</v>
      </c>
      <c r="V35" s="142">
        <v>770.9</v>
      </c>
      <c r="W35" s="142">
        <v>1.8048253E-2</v>
      </c>
      <c r="X35" s="135"/>
      <c r="Y35" s="141"/>
      <c r="Z35" s="135"/>
    </row>
    <row r="36" spans="2:26" ht="17" thickBot="1">
      <c r="B36" s="145" t="s">
        <v>62</v>
      </c>
      <c r="C36" s="146"/>
      <c r="D36" s="146"/>
      <c r="E36" s="146">
        <v>0.227791153</v>
      </c>
      <c r="F36" s="146"/>
      <c r="G36" s="146">
        <v>8.5882500000000002E-4</v>
      </c>
      <c r="H36" s="147"/>
      <c r="I36" s="148"/>
      <c r="J36" s="146" t="s">
        <v>62</v>
      </c>
      <c r="K36" s="146"/>
      <c r="L36" s="146"/>
      <c r="M36" s="146">
        <v>0.53941451200000001</v>
      </c>
      <c r="N36" s="146"/>
      <c r="O36" s="146">
        <v>1.31452E-3</v>
      </c>
      <c r="P36" s="147"/>
      <c r="Q36" s="148"/>
      <c r="R36" s="147"/>
      <c r="S36" s="147"/>
      <c r="T36" s="147"/>
      <c r="U36" s="147"/>
      <c r="V36" s="147"/>
      <c r="W36" s="147"/>
      <c r="X36" s="147"/>
      <c r="Y36" s="148"/>
      <c r="Z36" s="135"/>
    </row>
    <row r="39" spans="2:26" ht="19">
      <c r="B39" s="28" t="s">
        <v>264</v>
      </c>
      <c r="C39" s="29" t="s">
        <v>265</v>
      </c>
      <c r="D39" s="29" t="s">
        <v>266</v>
      </c>
      <c r="E39" s="29" t="s">
        <v>267</v>
      </c>
      <c r="F39" s="29" t="s">
        <v>268</v>
      </c>
      <c r="G39" s="29" t="s">
        <v>269</v>
      </c>
      <c r="H39" s="29"/>
      <c r="I39" s="166"/>
      <c r="J39" s="166"/>
    </row>
    <row r="40" spans="2:26" ht="19">
      <c r="B40" s="28"/>
      <c r="C40" s="29"/>
      <c r="D40" s="29"/>
      <c r="E40" s="29"/>
      <c r="F40" s="29"/>
      <c r="G40" s="29"/>
      <c r="H40" s="29"/>
      <c r="I40" s="166"/>
      <c r="J40" s="166"/>
    </row>
    <row r="41" spans="2:26" ht="19">
      <c r="B41" s="28" t="s">
        <v>270</v>
      </c>
      <c r="C41" s="29"/>
      <c r="D41" s="29"/>
      <c r="E41" s="29"/>
      <c r="F41" s="29"/>
      <c r="G41" s="29"/>
      <c r="H41" s="29"/>
      <c r="I41" s="166"/>
      <c r="J41" s="166"/>
    </row>
    <row r="42" spans="2:26" ht="19">
      <c r="B42" s="28" t="s">
        <v>271</v>
      </c>
      <c r="C42" s="29">
        <v>-0.15060000000000001</v>
      </c>
      <c r="D42" s="29" t="s">
        <v>272</v>
      </c>
      <c r="E42" s="29" t="s">
        <v>94</v>
      </c>
      <c r="F42" s="29" t="s">
        <v>93</v>
      </c>
      <c r="G42" s="29">
        <v>0.98399999999999999</v>
      </c>
      <c r="H42" s="29"/>
      <c r="I42" s="166"/>
      <c r="J42" s="166"/>
    </row>
    <row r="43" spans="2:26" ht="19">
      <c r="B43" s="28" t="s">
        <v>273</v>
      </c>
      <c r="C43" s="29">
        <v>-0.22889999999999999</v>
      </c>
      <c r="D43" s="29" t="s">
        <v>274</v>
      </c>
      <c r="E43" s="29" t="s">
        <v>94</v>
      </c>
      <c r="F43" s="29" t="s">
        <v>93</v>
      </c>
      <c r="G43" s="29">
        <v>0.96340000000000003</v>
      </c>
      <c r="H43" s="29"/>
      <c r="I43" s="166"/>
      <c r="J43" s="166"/>
    </row>
    <row r="44" spans="2:26" ht="19">
      <c r="B44" s="28" t="s">
        <v>275</v>
      </c>
      <c r="C44" s="29">
        <v>-7.825E-2</v>
      </c>
      <c r="D44" s="29" t="s">
        <v>276</v>
      </c>
      <c r="E44" s="29" t="s">
        <v>94</v>
      </c>
      <c r="F44" s="29" t="s">
        <v>93</v>
      </c>
      <c r="G44" s="29">
        <v>0.99560000000000004</v>
      </c>
      <c r="H44" s="29"/>
      <c r="I44" s="166"/>
      <c r="J44" s="166"/>
    </row>
    <row r="45" spans="2:26" ht="19">
      <c r="B45" s="28"/>
      <c r="C45" s="29"/>
      <c r="D45" s="29"/>
      <c r="E45" s="29"/>
      <c r="F45" s="29"/>
      <c r="G45" s="29"/>
      <c r="H45" s="29"/>
      <c r="I45" s="166"/>
      <c r="J45" s="166"/>
    </row>
    <row r="46" spans="2:26" ht="19">
      <c r="B46" s="28" t="s">
        <v>277</v>
      </c>
      <c r="C46" s="29"/>
      <c r="D46" s="29"/>
      <c r="E46" s="29"/>
      <c r="F46" s="29"/>
      <c r="G46" s="29"/>
      <c r="H46" s="29"/>
      <c r="I46" s="166"/>
      <c r="J46" s="166"/>
    </row>
    <row r="47" spans="2:26" ht="19">
      <c r="B47" s="28" t="s">
        <v>271</v>
      </c>
      <c r="C47" s="29">
        <v>-0.39279999999999998</v>
      </c>
      <c r="D47" s="29" t="s">
        <v>278</v>
      </c>
      <c r="E47" s="29" t="s">
        <v>94</v>
      </c>
      <c r="F47" s="29" t="s">
        <v>93</v>
      </c>
      <c r="G47" s="29">
        <v>0.89600000000000002</v>
      </c>
      <c r="H47" s="29"/>
      <c r="I47" s="166"/>
      <c r="J47" s="166"/>
    </row>
    <row r="48" spans="2:26" ht="19">
      <c r="B48" s="28" t="s">
        <v>273</v>
      </c>
      <c r="C48" s="29">
        <v>-0.38090000000000002</v>
      </c>
      <c r="D48" s="29" t="s">
        <v>279</v>
      </c>
      <c r="E48" s="29" t="s">
        <v>94</v>
      </c>
      <c r="F48" s="29" t="s">
        <v>93</v>
      </c>
      <c r="G48" s="29">
        <v>0.90190000000000003</v>
      </c>
      <c r="H48" s="29"/>
      <c r="I48" s="166"/>
      <c r="J48" s="166"/>
    </row>
    <row r="49" spans="2:10" ht="19">
      <c r="B49" s="28" t="s">
        <v>275</v>
      </c>
      <c r="C49" s="29">
        <v>1.188E-2</v>
      </c>
      <c r="D49" s="29" t="s">
        <v>280</v>
      </c>
      <c r="E49" s="29" t="s">
        <v>94</v>
      </c>
      <c r="F49" s="29" t="s">
        <v>93</v>
      </c>
      <c r="G49" s="29">
        <v>0.99990000000000001</v>
      </c>
      <c r="H49" s="29"/>
      <c r="I49" s="166"/>
      <c r="J49" s="166"/>
    </row>
    <row r="50" spans="2:10" ht="19">
      <c r="B50" s="28"/>
      <c r="C50" s="29"/>
      <c r="D50" s="29"/>
      <c r="E50" s="29"/>
      <c r="F50" s="29"/>
      <c r="G50" s="29"/>
      <c r="H50" s="29"/>
      <c r="I50" s="166"/>
      <c r="J50" s="166"/>
    </row>
    <row r="51" spans="2:10" ht="19">
      <c r="B51" s="28" t="s">
        <v>281</v>
      </c>
      <c r="C51" s="29"/>
      <c r="D51" s="29"/>
      <c r="E51" s="29"/>
      <c r="F51" s="29"/>
      <c r="G51" s="29"/>
      <c r="H51" s="29"/>
      <c r="I51" s="166"/>
      <c r="J51" s="166"/>
    </row>
    <row r="52" spans="2:10" ht="19">
      <c r="B52" s="28" t="s">
        <v>271</v>
      </c>
      <c r="C52" s="29">
        <v>-8.5050000000000008</v>
      </c>
      <c r="D52" s="29" t="s">
        <v>282</v>
      </c>
      <c r="E52" s="29" t="s">
        <v>80</v>
      </c>
      <c r="F52" s="29" t="s">
        <v>283</v>
      </c>
      <c r="G52" s="29" t="s">
        <v>284</v>
      </c>
      <c r="H52" s="29"/>
      <c r="I52" s="166"/>
      <c r="J52" s="166"/>
    </row>
    <row r="53" spans="2:10" ht="19">
      <c r="B53" s="28" t="s">
        <v>273</v>
      </c>
      <c r="C53" s="29">
        <v>-11.02</v>
      </c>
      <c r="D53" s="29" t="s">
        <v>285</v>
      </c>
      <c r="E53" s="29" t="s">
        <v>80</v>
      </c>
      <c r="F53" s="29" t="s">
        <v>283</v>
      </c>
      <c r="G53" s="29" t="s">
        <v>284</v>
      </c>
      <c r="H53" s="29"/>
      <c r="I53" s="166"/>
      <c r="J53" s="166"/>
    </row>
    <row r="54" spans="2:10" ht="19">
      <c r="B54" s="28" t="s">
        <v>275</v>
      </c>
      <c r="C54" s="29">
        <v>-2.512</v>
      </c>
      <c r="D54" s="29" t="s">
        <v>286</v>
      </c>
      <c r="E54" s="29" t="s">
        <v>80</v>
      </c>
      <c r="F54" s="29" t="s">
        <v>78</v>
      </c>
      <c r="G54" s="29">
        <v>1.7500000000000002E-2</v>
      </c>
      <c r="H54" s="29"/>
      <c r="I54" s="166"/>
      <c r="J54" s="166"/>
    </row>
    <row r="55" spans="2:10" ht="19">
      <c r="B55" s="167"/>
      <c r="C55" s="166"/>
      <c r="D55" s="166"/>
      <c r="E55" s="166"/>
      <c r="F55" s="166"/>
      <c r="G55" s="166"/>
      <c r="H55" s="166"/>
      <c r="I55" s="166"/>
      <c r="J55" s="16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84CA-52B0-C04A-9CE6-5D15B4468DE4}">
  <dimension ref="B4:Z34"/>
  <sheetViews>
    <sheetView topLeftCell="I1" zoomScaleNormal="80" workbookViewId="0">
      <selection activeCell="D5" sqref="D5:E29"/>
    </sheetView>
  </sheetViews>
  <sheetFormatPr baseColWidth="10" defaultRowHeight="14"/>
  <cols>
    <col min="1" max="1" width="10.83203125" style="4"/>
    <col min="2" max="5" width="11" style="4" bestFit="1" customWidth="1"/>
    <col min="6" max="6" width="10.83203125" style="4"/>
    <col min="7" max="7" width="19.1640625" style="4" customWidth="1"/>
    <col min="8" max="8" width="10.83203125" style="4"/>
    <col min="9" max="9" width="14.5" style="4" bestFit="1" customWidth="1"/>
    <col min="10" max="10" width="13" style="4" customWidth="1"/>
    <col min="11" max="11" width="13.1640625" style="4" customWidth="1"/>
    <col min="12" max="12" width="11" style="4" bestFit="1" customWidth="1"/>
    <col min="13" max="14" width="10.83203125" style="4"/>
    <col min="15" max="18" width="11" style="4" bestFit="1" customWidth="1"/>
    <col min="19" max="19" width="10.83203125" style="4"/>
    <col min="20" max="20" width="18.5" style="4" customWidth="1"/>
    <col min="21" max="21" width="10.83203125" style="4"/>
    <col min="22" max="22" width="14.5" style="4" bestFit="1" customWidth="1"/>
    <col min="23" max="25" width="11" style="4" bestFit="1" customWidth="1"/>
    <col min="26" max="16384" width="10.83203125" style="4"/>
  </cols>
  <sheetData>
    <row r="4" spans="2:26">
      <c r="B4" s="191" t="s">
        <v>213</v>
      </c>
      <c r="C4" s="191"/>
      <c r="D4" s="191"/>
      <c r="E4" s="191"/>
      <c r="F4" s="191"/>
      <c r="G4" s="191"/>
      <c r="H4" s="191"/>
      <c r="I4" s="191"/>
      <c r="J4" s="191"/>
      <c r="K4" s="191"/>
      <c r="L4" s="5" t="s">
        <v>17</v>
      </c>
      <c r="M4" s="5" t="s">
        <v>31</v>
      </c>
      <c r="O4" s="192" t="s">
        <v>19</v>
      </c>
      <c r="P4" s="192"/>
      <c r="Q4" s="192"/>
      <c r="R4" s="192"/>
      <c r="S4" s="192"/>
      <c r="T4" s="192"/>
      <c r="U4" s="192"/>
      <c r="V4" s="192"/>
      <c r="W4" s="192"/>
      <c r="X4" s="192"/>
      <c r="Y4" s="7" t="s">
        <v>17</v>
      </c>
      <c r="Z4" s="7" t="s">
        <v>31</v>
      </c>
    </row>
    <row r="5" spans="2:26">
      <c r="B5" s="73" t="s">
        <v>0</v>
      </c>
      <c r="C5" s="73" t="s">
        <v>1</v>
      </c>
      <c r="D5" s="73" t="s">
        <v>2</v>
      </c>
      <c r="E5" s="73" t="s">
        <v>3</v>
      </c>
      <c r="F5" s="73" t="s">
        <v>4</v>
      </c>
      <c r="G5" s="73" t="s">
        <v>5</v>
      </c>
      <c r="H5" s="73" t="s">
        <v>6</v>
      </c>
      <c r="I5" s="73" t="s">
        <v>7</v>
      </c>
      <c r="J5" s="73" t="s">
        <v>8</v>
      </c>
      <c r="K5" s="73" t="s">
        <v>9</v>
      </c>
      <c r="O5" s="73" t="s">
        <v>0</v>
      </c>
      <c r="P5" s="73" t="s">
        <v>1</v>
      </c>
      <c r="Q5" s="73" t="s">
        <v>2</v>
      </c>
      <c r="R5" s="73" t="s">
        <v>3</v>
      </c>
      <c r="S5" s="73" t="s">
        <v>4</v>
      </c>
      <c r="T5" s="73" t="s">
        <v>5</v>
      </c>
      <c r="U5" s="73" t="s">
        <v>6</v>
      </c>
      <c r="V5" s="73" t="s">
        <v>7</v>
      </c>
      <c r="W5" s="73" t="s">
        <v>8</v>
      </c>
      <c r="X5" s="73" t="s">
        <v>9</v>
      </c>
    </row>
    <row r="6" spans="2:26">
      <c r="B6" s="190">
        <v>1</v>
      </c>
      <c r="C6" s="10">
        <v>1</v>
      </c>
      <c r="D6" s="10">
        <v>7605</v>
      </c>
      <c r="E6" s="10">
        <v>7391</v>
      </c>
      <c r="F6" s="10" t="s">
        <v>10</v>
      </c>
      <c r="G6" s="10" t="s">
        <v>213</v>
      </c>
      <c r="H6" s="10" t="s">
        <v>12</v>
      </c>
      <c r="I6" s="11">
        <v>13393379.767999999</v>
      </c>
      <c r="J6" s="12">
        <v>9128.6910243007005</v>
      </c>
      <c r="K6" s="10">
        <f>(J6/I6)*100</f>
        <v>6.815823326470094E-2</v>
      </c>
      <c r="L6" s="4">
        <f>AVERAGE(K6:K8)</f>
        <v>6.3570995805608058E-2</v>
      </c>
      <c r="M6" s="4">
        <f>STDEV(L6:L27)</f>
        <v>0.414809380501234</v>
      </c>
      <c r="O6" s="190">
        <v>1</v>
      </c>
      <c r="P6" s="10">
        <v>1</v>
      </c>
      <c r="Q6" s="10">
        <v>9234</v>
      </c>
      <c r="R6" s="10">
        <v>7387</v>
      </c>
      <c r="S6" s="10" t="s">
        <v>10</v>
      </c>
      <c r="T6" s="10" t="s">
        <v>19</v>
      </c>
      <c r="U6" s="10" t="s">
        <v>12</v>
      </c>
      <c r="V6" s="10">
        <f>4274712.377+8486797.478</f>
        <v>12761509.855</v>
      </c>
      <c r="W6" s="12">
        <v>135395.32564466499</v>
      </c>
      <c r="X6" s="10">
        <f>(W6/V6)*100</f>
        <v>1.0609663525951569</v>
      </c>
      <c r="Y6" s="4">
        <f>AVERAGE(X6:X8)</f>
        <v>0.97245794167640298</v>
      </c>
      <c r="Z6" s="4">
        <f>STDEV(Y6:Y30)</f>
        <v>0.87691399476079601</v>
      </c>
    </row>
    <row r="7" spans="2:26">
      <c r="B7" s="186"/>
      <c r="C7" s="10">
        <v>2</v>
      </c>
      <c r="D7" s="10">
        <v>7605</v>
      </c>
      <c r="E7" s="10">
        <v>7391</v>
      </c>
      <c r="F7" s="10" t="s">
        <v>10</v>
      </c>
      <c r="G7" s="10" t="s">
        <v>213</v>
      </c>
      <c r="H7" s="10" t="s">
        <v>12</v>
      </c>
      <c r="I7" s="11">
        <v>13507600.956</v>
      </c>
      <c r="J7" s="12">
        <v>7846.7486461255503</v>
      </c>
      <c r="K7" s="10">
        <f t="shared" ref="K7:K20" si="0">(J7/I7)*100</f>
        <v>5.8091356649383911E-2</v>
      </c>
      <c r="O7" s="186"/>
      <c r="P7" s="10">
        <v>2</v>
      </c>
      <c r="Q7" s="10">
        <v>9234</v>
      </c>
      <c r="R7" s="10">
        <v>7387</v>
      </c>
      <c r="S7" s="10" t="s">
        <v>10</v>
      </c>
      <c r="T7" s="10" t="s">
        <v>19</v>
      </c>
      <c r="U7" s="10" t="s">
        <v>12</v>
      </c>
      <c r="V7" s="10">
        <f>7468642.766+4154224.877</f>
        <v>11622867.642999999</v>
      </c>
      <c r="W7" s="12">
        <v>125143.830013415</v>
      </c>
      <c r="X7" s="10">
        <f t="shared" ref="X7:X20" si="1">(W7/V7)*100</f>
        <v>1.0767035628146748</v>
      </c>
    </row>
    <row r="8" spans="2:26" ht="15" thickBot="1">
      <c r="B8" s="189"/>
      <c r="C8" s="13">
        <v>3</v>
      </c>
      <c r="D8" s="13">
        <v>7605</v>
      </c>
      <c r="E8" s="13">
        <v>7391</v>
      </c>
      <c r="F8" s="13" t="s">
        <v>10</v>
      </c>
      <c r="G8" s="10" t="s">
        <v>213</v>
      </c>
      <c r="H8" s="13" t="s">
        <v>12</v>
      </c>
      <c r="I8" s="14">
        <v>13067906.427999999</v>
      </c>
      <c r="J8" s="15">
        <v>8424.0164659676593</v>
      </c>
      <c r="K8" s="13">
        <f t="shared" si="0"/>
        <v>6.44633975027393E-2</v>
      </c>
      <c r="O8" s="189"/>
      <c r="P8" s="13">
        <v>3</v>
      </c>
      <c r="Q8" s="10">
        <v>9234</v>
      </c>
      <c r="R8" s="10">
        <v>7387</v>
      </c>
      <c r="S8" s="10" t="s">
        <v>10</v>
      </c>
      <c r="T8" s="10" t="s">
        <v>19</v>
      </c>
      <c r="U8" s="10" t="s">
        <v>12</v>
      </c>
      <c r="V8" s="13">
        <f>3984902.021+8059965.445</f>
        <v>12044867.466</v>
      </c>
      <c r="W8" s="15">
        <v>93914.3025408744</v>
      </c>
      <c r="X8" s="13">
        <f t="shared" si="1"/>
        <v>0.77970390961937708</v>
      </c>
    </row>
    <row r="9" spans="2:26">
      <c r="B9" s="186">
        <v>2</v>
      </c>
      <c r="C9" s="16">
        <v>1</v>
      </c>
      <c r="D9" s="16">
        <v>7731</v>
      </c>
      <c r="E9" s="16">
        <v>7390</v>
      </c>
      <c r="F9" s="16" t="s">
        <v>10</v>
      </c>
      <c r="G9" s="10" t="s">
        <v>213</v>
      </c>
      <c r="H9" s="16" t="s">
        <v>12</v>
      </c>
      <c r="I9" s="17">
        <v>12455381.897</v>
      </c>
      <c r="J9" s="18">
        <v>3191.9169182956798</v>
      </c>
      <c r="K9" s="16">
        <f t="shared" si="0"/>
        <v>2.5626808914341551E-2</v>
      </c>
      <c r="L9" s="4">
        <f>AVERAGE(K9:K11)</f>
        <v>2.1968539335001484E-2</v>
      </c>
      <c r="O9" s="188">
        <v>2</v>
      </c>
      <c r="P9" s="19">
        <v>1</v>
      </c>
      <c r="Q9" s="19">
        <v>9236</v>
      </c>
      <c r="R9" s="19">
        <v>7388</v>
      </c>
      <c r="S9" s="19" t="s">
        <v>10</v>
      </c>
      <c r="T9" s="10" t="s">
        <v>19</v>
      </c>
      <c r="U9" s="19" t="s">
        <v>12</v>
      </c>
      <c r="V9" s="19">
        <f>5021818.509+3966803.888</f>
        <v>8988622.3969999999</v>
      </c>
      <c r="W9" s="18">
        <v>31411.885655716102</v>
      </c>
      <c r="X9" s="16">
        <f t="shared" si="1"/>
        <v>0.34946273487025092</v>
      </c>
      <c r="Y9" s="4">
        <f>AVERAGE(X9:X11)</f>
        <v>0.30968837612287714</v>
      </c>
    </row>
    <row r="10" spans="2:26">
      <c r="B10" s="186"/>
      <c r="C10" s="10">
        <v>2</v>
      </c>
      <c r="D10" s="10">
        <v>7731</v>
      </c>
      <c r="E10" s="10">
        <v>7390</v>
      </c>
      <c r="F10" s="10" t="s">
        <v>10</v>
      </c>
      <c r="G10" s="10" t="s">
        <v>213</v>
      </c>
      <c r="H10" s="10" t="s">
        <v>12</v>
      </c>
      <c r="I10" s="11">
        <f>6412430.863+5689043.353</f>
        <v>12101474.216</v>
      </c>
      <c r="J10" s="12">
        <v>2449.8979365124601</v>
      </c>
      <c r="K10" s="10">
        <f t="shared" si="0"/>
        <v>2.0244623859738679E-2</v>
      </c>
      <c r="O10" s="186"/>
      <c r="P10" s="10">
        <v>2</v>
      </c>
      <c r="Q10" s="10">
        <v>9236</v>
      </c>
      <c r="R10" s="10">
        <v>7388</v>
      </c>
      <c r="S10" s="10" t="s">
        <v>10</v>
      </c>
      <c r="T10" s="10" t="s">
        <v>19</v>
      </c>
      <c r="U10" s="10" t="s">
        <v>12</v>
      </c>
      <c r="V10" s="10">
        <f>40322.306+3665883.319+730289.874+479500.914+3931180.847</f>
        <v>8847177.2599999998</v>
      </c>
      <c r="W10" s="12">
        <v>30163.898654042699</v>
      </c>
      <c r="X10" s="10">
        <f t="shared" si="1"/>
        <v>0.34094375830379486</v>
      </c>
    </row>
    <row r="11" spans="2:26" ht="15" thickBot="1">
      <c r="B11" s="189"/>
      <c r="C11" s="13">
        <v>3</v>
      </c>
      <c r="D11" s="13">
        <v>7731</v>
      </c>
      <c r="E11" s="13">
        <v>7390</v>
      </c>
      <c r="F11" s="13" t="s">
        <v>10</v>
      </c>
      <c r="G11" s="10" t="s">
        <v>213</v>
      </c>
      <c r="H11" s="13" t="s">
        <v>12</v>
      </c>
      <c r="I11" s="14">
        <v>12065371.403000001</v>
      </c>
      <c r="J11" s="15">
        <v>2417.1988556759802</v>
      </c>
      <c r="K11" s="13">
        <f t="shared" si="0"/>
        <v>2.0034185230924217E-2</v>
      </c>
      <c r="O11" s="189"/>
      <c r="P11" s="13">
        <v>3</v>
      </c>
      <c r="Q11" s="10">
        <v>9236</v>
      </c>
      <c r="R11" s="10">
        <v>7388</v>
      </c>
      <c r="S11" s="10" t="s">
        <v>10</v>
      </c>
      <c r="T11" s="10" t="s">
        <v>19</v>
      </c>
      <c r="U11" s="10" t="s">
        <v>12</v>
      </c>
      <c r="V11" s="13">
        <v>9325301.9849999994</v>
      </c>
      <c r="W11" s="15">
        <v>22255.638445174602</v>
      </c>
      <c r="X11" s="13">
        <f t="shared" si="1"/>
        <v>0.23865863519458566</v>
      </c>
    </row>
    <row r="12" spans="2:26">
      <c r="B12" s="186">
        <v>3</v>
      </c>
      <c r="C12" s="16">
        <v>1</v>
      </c>
      <c r="D12" s="16">
        <v>7733</v>
      </c>
      <c r="E12" s="16">
        <v>7393</v>
      </c>
      <c r="F12" s="16" t="s">
        <v>10</v>
      </c>
      <c r="G12" s="10" t="s">
        <v>213</v>
      </c>
      <c r="H12" s="16" t="s">
        <v>12</v>
      </c>
      <c r="I12" s="17">
        <f>43596.225+4287720.167+2426625.135</f>
        <v>6757941.5269999998</v>
      </c>
      <c r="J12" s="18">
        <v>26933.734959956</v>
      </c>
      <c r="K12" s="16">
        <f t="shared" si="0"/>
        <v>0.39854939336701367</v>
      </c>
      <c r="L12" s="4">
        <f>AVERAGE(K12:K14)</f>
        <v>0.31833931000661758</v>
      </c>
      <c r="O12" s="188">
        <v>3</v>
      </c>
      <c r="P12" s="19">
        <v>1</v>
      </c>
      <c r="Q12" s="19">
        <v>8018</v>
      </c>
      <c r="R12" s="19">
        <v>7978</v>
      </c>
      <c r="S12" s="19" t="s">
        <v>10</v>
      </c>
      <c r="T12" s="10" t="s">
        <v>19</v>
      </c>
      <c r="U12" s="19" t="s">
        <v>12</v>
      </c>
      <c r="V12" s="19">
        <v>9991838.4299999997</v>
      </c>
      <c r="W12" s="18">
        <v>185116.90610835899</v>
      </c>
      <c r="X12" s="16">
        <f t="shared" si="1"/>
        <v>1.8526811397645768</v>
      </c>
      <c r="Y12" s="4">
        <f>AVERAGE(X12:X14)</f>
        <v>2.0747925008300183</v>
      </c>
    </row>
    <row r="13" spans="2:26">
      <c r="B13" s="186"/>
      <c r="C13" s="10">
        <v>2</v>
      </c>
      <c r="D13" s="10">
        <v>7733</v>
      </c>
      <c r="E13" s="10">
        <v>7393</v>
      </c>
      <c r="F13" s="10" t="s">
        <v>10</v>
      </c>
      <c r="G13" s="10" t="s">
        <v>213</v>
      </c>
      <c r="H13" s="10" t="s">
        <v>12</v>
      </c>
      <c r="I13" s="11">
        <f>52025.49+6945012.596</f>
        <v>6997038.0860000001</v>
      </c>
      <c r="J13" s="12">
        <v>18453.364404836098</v>
      </c>
      <c r="K13" s="10">
        <f t="shared" si="0"/>
        <v>0.26373108418201197</v>
      </c>
      <c r="O13" s="186"/>
      <c r="P13" s="10">
        <v>2</v>
      </c>
      <c r="Q13" s="10">
        <v>8018</v>
      </c>
      <c r="R13" s="10">
        <v>7978</v>
      </c>
      <c r="S13" s="10" t="s">
        <v>10</v>
      </c>
      <c r="T13" s="10" t="s">
        <v>19</v>
      </c>
      <c r="U13" s="10" t="s">
        <v>12</v>
      </c>
      <c r="V13" s="10">
        <v>9624075.2939999998</v>
      </c>
      <c r="W13" s="12">
        <v>248872.195418488</v>
      </c>
      <c r="X13" s="10">
        <f t="shared" si="1"/>
        <v>2.5859335865092827</v>
      </c>
    </row>
    <row r="14" spans="2:26" ht="15" thickBot="1">
      <c r="B14" s="189"/>
      <c r="C14" s="13">
        <v>3</v>
      </c>
      <c r="D14" s="13">
        <v>7733</v>
      </c>
      <c r="E14" s="13">
        <v>7393</v>
      </c>
      <c r="F14" s="13" t="s">
        <v>10</v>
      </c>
      <c r="G14" s="10" t="s">
        <v>213</v>
      </c>
      <c r="H14" s="13" t="s">
        <v>12</v>
      </c>
      <c r="I14" s="14">
        <f>54760.556+6989639.799</f>
        <v>7044400.3549999995</v>
      </c>
      <c r="J14" s="15">
        <v>20621.5981410729</v>
      </c>
      <c r="K14" s="13">
        <f t="shared" si="0"/>
        <v>0.29273745247082711</v>
      </c>
      <c r="O14" s="189"/>
      <c r="P14" s="13">
        <v>3</v>
      </c>
      <c r="Q14" s="13">
        <v>8018</v>
      </c>
      <c r="R14" s="13">
        <v>7978</v>
      </c>
      <c r="S14" s="13" t="s">
        <v>10</v>
      </c>
      <c r="T14" s="10" t="s">
        <v>19</v>
      </c>
      <c r="U14" s="13" t="s">
        <v>12</v>
      </c>
      <c r="V14" s="13">
        <f>10867.618+9293219.1</f>
        <v>9304086.7180000003</v>
      </c>
      <c r="W14" s="15">
        <v>166148.917276919</v>
      </c>
      <c r="X14" s="13">
        <f t="shared" si="1"/>
        <v>1.7857627762161943</v>
      </c>
    </row>
    <row r="15" spans="2:26">
      <c r="B15" s="186">
        <v>4</v>
      </c>
      <c r="C15" s="16">
        <v>1</v>
      </c>
      <c r="D15" s="16">
        <v>7734</v>
      </c>
      <c r="E15" s="16">
        <v>7392</v>
      </c>
      <c r="F15" s="16" t="s">
        <v>10</v>
      </c>
      <c r="G15" s="10" t="s">
        <v>213</v>
      </c>
      <c r="H15" s="16" t="s">
        <v>12</v>
      </c>
      <c r="I15" s="17">
        <f>7464376.648+2392694.387</f>
        <v>9857071.0350000001</v>
      </c>
      <c r="J15" s="18">
        <v>61765.924819703199</v>
      </c>
      <c r="K15" s="16">
        <f t="shared" si="0"/>
        <v>0.62661539721472848</v>
      </c>
      <c r="L15" s="4">
        <f>AVERAGE(K15:K17)</f>
        <v>0.64725062051436177</v>
      </c>
      <c r="O15" s="188">
        <v>4</v>
      </c>
      <c r="P15" s="19">
        <v>1</v>
      </c>
      <c r="Q15" s="19">
        <v>8019</v>
      </c>
      <c r="R15" s="19">
        <v>7980</v>
      </c>
      <c r="S15" s="19" t="s">
        <v>10</v>
      </c>
      <c r="T15" s="10" t="s">
        <v>19</v>
      </c>
      <c r="U15" s="19" t="s">
        <v>12</v>
      </c>
      <c r="V15" s="19">
        <f>34156.839+552988.823+5681565.231+1576408.433</f>
        <v>7845119.3259999994</v>
      </c>
      <c r="W15" s="18">
        <v>145590.21677924501</v>
      </c>
      <c r="X15" s="16">
        <f t="shared" si="1"/>
        <v>1.8558062755876177</v>
      </c>
      <c r="Y15" s="4">
        <f>AVERAGE(X15:X17)</f>
        <v>1.7011899109374964</v>
      </c>
    </row>
    <row r="16" spans="2:26">
      <c r="B16" s="186"/>
      <c r="C16" s="10">
        <v>2</v>
      </c>
      <c r="D16" s="10">
        <v>7734</v>
      </c>
      <c r="E16" s="10">
        <v>7392</v>
      </c>
      <c r="F16" s="10" t="s">
        <v>10</v>
      </c>
      <c r="G16" s="10" t="s">
        <v>213</v>
      </c>
      <c r="H16" s="10" t="s">
        <v>12</v>
      </c>
      <c r="I16" s="11">
        <f>2579238.551+7623926.955</f>
        <v>10203165.506000001</v>
      </c>
      <c r="J16" s="12">
        <v>53641.858214513202</v>
      </c>
      <c r="K16" s="10">
        <f t="shared" si="0"/>
        <v>0.52573741142363073</v>
      </c>
      <c r="O16" s="186"/>
      <c r="P16" s="10">
        <v>2</v>
      </c>
      <c r="Q16" s="10">
        <v>8019</v>
      </c>
      <c r="R16" s="10">
        <v>7980</v>
      </c>
      <c r="S16" s="10" t="s">
        <v>10</v>
      </c>
      <c r="T16" s="10" t="s">
        <v>19</v>
      </c>
      <c r="U16" s="10" t="s">
        <v>12</v>
      </c>
      <c r="V16" s="10">
        <f>5524262.826+2210160.684</f>
        <v>7734423.5099999998</v>
      </c>
      <c r="W16" s="12">
        <v>136671.18782058801</v>
      </c>
      <c r="X16" s="10">
        <f t="shared" si="1"/>
        <v>1.7670507393845569</v>
      </c>
    </row>
    <row r="17" spans="2:25" ht="15" thickBot="1">
      <c r="B17" s="189"/>
      <c r="C17" s="13">
        <v>3</v>
      </c>
      <c r="D17" s="13">
        <v>7734</v>
      </c>
      <c r="E17" s="13">
        <v>7392</v>
      </c>
      <c r="F17" s="13" t="s">
        <v>10</v>
      </c>
      <c r="G17" s="10" t="s">
        <v>213</v>
      </c>
      <c r="H17" s="13" t="s">
        <v>12</v>
      </c>
      <c r="I17" s="14">
        <f>2758323.578+7923099.24</f>
        <v>10681422.818</v>
      </c>
      <c r="J17" s="15">
        <v>84319.050562041302</v>
      </c>
      <c r="K17" s="13">
        <f t="shared" si="0"/>
        <v>0.78939905290472612</v>
      </c>
      <c r="O17" s="189"/>
      <c r="P17" s="13">
        <v>3</v>
      </c>
      <c r="Q17" s="13">
        <v>8019</v>
      </c>
      <c r="R17" s="13">
        <v>7980</v>
      </c>
      <c r="S17" s="13" t="s">
        <v>10</v>
      </c>
      <c r="T17" s="10" t="s">
        <v>19</v>
      </c>
      <c r="U17" s="13" t="s">
        <v>12</v>
      </c>
      <c r="V17" s="13">
        <f>5223230.173+481403.706+1585202.957</f>
        <v>7289836.8360000011</v>
      </c>
      <c r="W17" s="15">
        <v>107941.54114046</v>
      </c>
      <c r="X17" s="13">
        <f t="shared" si="1"/>
        <v>1.4807127178403146</v>
      </c>
    </row>
    <row r="18" spans="2:25">
      <c r="B18" s="186">
        <v>5</v>
      </c>
      <c r="C18" s="16">
        <v>1</v>
      </c>
      <c r="D18" s="16" t="s">
        <v>14</v>
      </c>
      <c r="E18" s="16">
        <v>8037</v>
      </c>
      <c r="F18" s="16" t="s">
        <v>10</v>
      </c>
      <c r="G18" s="10" t="s">
        <v>213</v>
      </c>
      <c r="H18" s="16" t="s">
        <v>12</v>
      </c>
      <c r="I18" s="20">
        <f>459904.078+5757356.019</f>
        <v>6217260.0970000001</v>
      </c>
      <c r="J18" s="18">
        <v>32195.643478841001</v>
      </c>
      <c r="K18" s="16">
        <f t="shared" si="0"/>
        <v>0.51784295616611387</v>
      </c>
      <c r="L18" s="4">
        <f>AVERAGE(K18:K20)</f>
        <v>0.67288803792538376</v>
      </c>
      <c r="O18" s="188">
        <v>5</v>
      </c>
      <c r="P18" s="16">
        <v>1</v>
      </c>
      <c r="Q18" s="16">
        <v>8020</v>
      </c>
      <c r="R18" s="16">
        <v>7982</v>
      </c>
      <c r="S18" s="16" t="s">
        <v>10</v>
      </c>
      <c r="T18" s="10" t="s">
        <v>19</v>
      </c>
      <c r="U18" s="16" t="s">
        <v>12</v>
      </c>
      <c r="V18" s="16">
        <v>11330362.215</v>
      </c>
      <c r="W18" s="18">
        <v>162553.49293105301</v>
      </c>
      <c r="X18" s="16">
        <f t="shared" si="1"/>
        <v>1.4346716357915925</v>
      </c>
      <c r="Y18" s="4">
        <f>AVERAGE(X18:X20)</f>
        <v>1.548754699313341</v>
      </c>
    </row>
    <row r="19" spans="2:25">
      <c r="B19" s="186"/>
      <c r="C19" s="10">
        <v>2</v>
      </c>
      <c r="D19" s="10" t="s">
        <v>14</v>
      </c>
      <c r="E19" s="10">
        <v>8037</v>
      </c>
      <c r="F19" s="10" t="s">
        <v>10</v>
      </c>
      <c r="G19" s="10" t="s">
        <v>213</v>
      </c>
      <c r="H19" s="10" t="s">
        <v>12</v>
      </c>
      <c r="I19" s="17">
        <v>6722872.8300000001</v>
      </c>
      <c r="J19" s="12">
        <v>50633.817145374</v>
      </c>
      <c r="K19" s="10">
        <f t="shared" si="0"/>
        <v>0.75315744363669601</v>
      </c>
      <c r="O19" s="186"/>
      <c r="P19" s="16">
        <v>2</v>
      </c>
      <c r="Q19" s="16">
        <v>8020</v>
      </c>
      <c r="R19" s="16">
        <v>7982</v>
      </c>
      <c r="S19" s="16" t="s">
        <v>10</v>
      </c>
      <c r="T19" s="10" t="s">
        <v>19</v>
      </c>
      <c r="U19" s="16" t="s">
        <v>12</v>
      </c>
      <c r="V19" s="16">
        <v>11182216.302999999</v>
      </c>
      <c r="W19" s="12">
        <v>179246.21366121701</v>
      </c>
      <c r="X19" s="10">
        <f t="shared" si="1"/>
        <v>1.6029578466759606</v>
      </c>
    </row>
    <row r="20" spans="2:25">
      <c r="B20" s="187"/>
      <c r="C20" s="10">
        <v>3</v>
      </c>
      <c r="D20" s="10" t="s">
        <v>14</v>
      </c>
      <c r="E20" s="10">
        <v>8037</v>
      </c>
      <c r="F20" s="10" t="s">
        <v>10</v>
      </c>
      <c r="G20" s="10" t="s">
        <v>213</v>
      </c>
      <c r="H20" s="10" t="s">
        <v>12</v>
      </c>
      <c r="I20" s="11">
        <v>6669273.8640000001</v>
      </c>
      <c r="J20" s="12">
        <v>49863.7406666358</v>
      </c>
      <c r="K20" s="10">
        <f t="shared" si="0"/>
        <v>0.74766371397334175</v>
      </c>
      <c r="O20" s="187"/>
      <c r="P20" s="16">
        <v>3</v>
      </c>
      <c r="Q20" s="16">
        <v>8020</v>
      </c>
      <c r="R20" s="16">
        <v>7982</v>
      </c>
      <c r="S20" s="16" t="s">
        <v>10</v>
      </c>
      <c r="T20" s="10" t="s">
        <v>19</v>
      </c>
      <c r="U20" s="16" t="s">
        <v>12</v>
      </c>
      <c r="V20" s="16">
        <v>11142754.976</v>
      </c>
      <c r="W20" s="12">
        <v>179246.21366121701</v>
      </c>
      <c r="X20" s="10">
        <f t="shared" si="1"/>
        <v>1.6086346154724693</v>
      </c>
    </row>
    <row r="21" spans="2:25">
      <c r="B21" s="190">
        <v>6</v>
      </c>
      <c r="C21" s="10">
        <v>1</v>
      </c>
      <c r="D21" s="10">
        <v>9056</v>
      </c>
      <c r="E21" s="10">
        <v>12806</v>
      </c>
      <c r="F21" s="10" t="s">
        <v>15</v>
      </c>
      <c r="G21" s="10" t="s">
        <v>213</v>
      </c>
      <c r="H21" s="10" t="s">
        <v>12</v>
      </c>
      <c r="I21" s="10">
        <v>12278762.511</v>
      </c>
      <c r="J21" s="12">
        <v>77540.107525139698</v>
      </c>
      <c r="K21" s="10">
        <f>(J21/I21)*100</f>
        <v>0.6314977381122483</v>
      </c>
      <c r="L21" s="4">
        <f>AVERAGE(K21:K23)</f>
        <v>0.57497864533300691</v>
      </c>
      <c r="O21" s="190">
        <v>6</v>
      </c>
      <c r="P21" s="10">
        <v>1</v>
      </c>
      <c r="Q21" s="10">
        <v>9057</v>
      </c>
      <c r="R21" s="10">
        <v>12812</v>
      </c>
      <c r="S21" s="10" t="s">
        <v>15</v>
      </c>
      <c r="T21" s="10" t="s">
        <v>19</v>
      </c>
      <c r="U21" s="10" t="s">
        <v>12</v>
      </c>
      <c r="V21" s="10">
        <v>13521053.638</v>
      </c>
      <c r="W21" s="12">
        <v>383144.49519349798</v>
      </c>
      <c r="X21" s="10">
        <f>(W21/V21)*100</f>
        <v>2.8336881536857192</v>
      </c>
      <c r="Y21" s="4">
        <f>AVERAGE(X21:X23)</f>
        <v>2.8630796429628731</v>
      </c>
    </row>
    <row r="22" spans="2:25">
      <c r="B22" s="186"/>
      <c r="C22" s="10">
        <v>2</v>
      </c>
      <c r="D22" s="10">
        <v>9056</v>
      </c>
      <c r="E22" s="10">
        <v>12806</v>
      </c>
      <c r="F22" s="10" t="s">
        <v>15</v>
      </c>
      <c r="G22" s="10" t="s">
        <v>213</v>
      </c>
      <c r="H22" s="10" t="s">
        <v>12</v>
      </c>
      <c r="I22" s="10">
        <v>12003914.829</v>
      </c>
      <c r="J22" s="12">
        <v>63996.1626211033</v>
      </c>
      <c r="K22" s="10">
        <f t="shared" ref="K22:K29" si="2">(J22/I22)*100</f>
        <v>0.53312742994890594</v>
      </c>
      <c r="O22" s="186"/>
      <c r="P22" s="10">
        <v>2</v>
      </c>
      <c r="Q22" s="10">
        <v>9057</v>
      </c>
      <c r="R22" s="10">
        <v>12812</v>
      </c>
      <c r="S22" s="10" t="s">
        <v>15</v>
      </c>
      <c r="T22" s="10" t="s">
        <v>19</v>
      </c>
      <c r="U22" s="10" t="s">
        <v>12</v>
      </c>
      <c r="V22" s="10">
        <v>13396127.946</v>
      </c>
      <c r="W22" s="12">
        <v>452846.23268372403</v>
      </c>
      <c r="X22" s="10">
        <f t="shared" ref="X22:X32" si="3">(W22/V22)*100</f>
        <v>3.3804263031015691</v>
      </c>
    </row>
    <row r="23" spans="2:25" ht="15" thickBot="1">
      <c r="B23" s="189"/>
      <c r="C23" s="13">
        <v>3</v>
      </c>
      <c r="D23" s="13">
        <v>9056</v>
      </c>
      <c r="E23" s="13">
        <v>12806</v>
      </c>
      <c r="F23" s="13" t="s">
        <v>15</v>
      </c>
      <c r="G23" s="10" t="s">
        <v>213</v>
      </c>
      <c r="H23" s="13" t="s">
        <v>12</v>
      </c>
      <c r="I23" s="13">
        <v>12409300.997</v>
      </c>
      <c r="J23" s="15">
        <v>69530.649712012004</v>
      </c>
      <c r="K23" s="13">
        <f t="shared" si="2"/>
        <v>0.56031076793786638</v>
      </c>
      <c r="O23" s="189"/>
      <c r="P23" s="13">
        <v>3</v>
      </c>
      <c r="Q23" s="13">
        <v>9057</v>
      </c>
      <c r="R23" s="13">
        <v>12812</v>
      </c>
      <c r="S23" s="13" t="s">
        <v>15</v>
      </c>
      <c r="T23" s="10" t="s">
        <v>19</v>
      </c>
      <c r="U23" s="13" t="s">
        <v>12</v>
      </c>
      <c r="V23" s="13">
        <v>13075061.057</v>
      </c>
      <c r="W23" s="15">
        <v>310548.97490699799</v>
      </c>
      <c r="X23" s="13">
        <f t="shared" si="3"/>
        <v>2.3751244721013314</v>
      </c>
    </row>
    <row r="24" spans="2:25">
      <c r="B24" s="188">
        <v>7</v>
      </c>
      <c r="C24" s="19">
        <v>1</v>
      </c>
      <c r="D24" s="19">
        <v>9058</v>
      </c>
      <c r="E24" s="19">
        <v>12818</v>
      </c>
      <c r="F24" s="19" t="s">
        <v>15</v>
      </c>
      <c r="G24" s="10" t="s">
        <v>213</v>
      </c>
      <c r="H24" s="19" t="s">
        <v>12</v>
      </c>
      <c r="I24" s="19">
        <f>7747637.04+4693082.49</f>
        <v>12440719.530000001</v>
      </c>
      <c r="J24" s="18">
        <v>48217.651944074903</v>
      </c>
      <c r="K24" s="16">
        <f t="shared" si="2"/>
        <v>0.38757928613213338</v>
      </c>
      <c r="L24" s="4">
        <f>AVERAGE(K24:K26)</f>
        <v>0.31139459631517169</v>
      </c>
      <c r="O24" s="188">
        <v>7</v>
      </c>
      <c r="P24" s="19">
        <v>1</v>
      </c>
      <c r="Q24" s="19">
        <v>9060</v>
      </c>
      <c r="R24" s="19">
        <v>12830</v>
      </c>
      <c r="S24" s="19" t="s">
        <v>15</v>
      </c>
      <c r="T24" s="10" t="s">
        <v>19</v>
      </c>
      <c r="U24" s="19" t="s">
        <v>12</v>
      </c>
      <c r="V24" s="19">
        <v>16181262.068</v>
      </c>
      <c r="W24" s="18">
        <v>366951.52441203402</v>
      </c>
      <c r="X24" s="16">
        <f t="shared" si="3"/>
        <v>2.2677558948737127</v>
      </c>
      <c r="Y24" s="4">
        <f>AVERAGE(X24:X26)</f>
        <v>2.0120713588434316</v>
      </c>
    </row>
    <row r="25" spans="2:25">
      <c r="B25" s="186"/>
      <c r="C25" s="10">
        <v>2</v>
      </c>
      <c r="D25" s="10">
        <v>9058</v>
      </c>
      <c r="E25" s="10">
        <v>12818</v>
      </c>
      <c r="F25" s="10" t="s">
        <v>15</v>
      </c>
      <c r="G25" s="10" t="s">
        <v>213</v>
      </c>
      <c r="H25" s="10" t="s">
        <v>12</v>
      </c>
      <c r="I25" s="10">
        <f>7826772.876+4926959.106</f>
        <v>12753731.982000001</v>
      </c>
      <c r="J25" s="12">
        <v>39146.198651261198</v>
      </c>
      <c r="K25" s="10">
        <f t="shared" si="2"/>
        <v>0.30693916656324788</v>
      </c>
      <c r="O25" s="186"/>
      <c r="P25" s="10">
        <v>2</v>
      </c>
      <c r="Q25" s="10">
        <v>9060</v>
      </c>
      <c r="R25" s="10">
        <v>12830</v>
      </c>
      <c r="S25" s="10" t="s">
        <v>15</v>
      </c>
      <c r="T25" s="10" t="s">
        <v>19</v>
      </c>
      <c r="U25" s="10" t="s">
        <v>12</v>
      </c>
      <c r="V25" s="10">
        <v>15517652.203</v>
      </c>
      <c r="W25" s="12">
        <v>354260.027872123</v>
      </c>
      <c r="X25" s="10">
        <f t="shared" si="3"/>
        <v>2.2829486267493126</v>
      </c>
    </row>
    <row r="26" spans="2:25" ht="15" thickBot="1">
      <c r="B26" s="189"/>
      <c r="C26" s="13">
        <v>3</v>
      </c>
      <c r="D26" s="13">
        <v>9058</v>
      </c>
      <c r="E26" s="13">
        <v>12818</v>
      </c>
      <c r="F26" s="13" t="s">
        <v>15</v>
      </c>
      <c r="G26" s="10" t="s">
        <v>213</v>
      </c>
      <c r="H26" s="13" t="s">
        <v>12</v>
      </c>
      <c r="I26" s="13">
        <f>7823168.376+4853061.996</f>
        <v>12676230.372000001</v>
      </c>
      <c r="J26" s="15">
        <v>30380.530144895401</v>
      </c>
      <c r="K26" s="13">
        <f t="shared" si="2"/>
        <v>0.23966533625013386</v>
      </c>
      <c r="O26" s="189"/>
      <c r="P26" s="13">
        <v>3</v>
      </c>
      <c r="Q26" s="13">
        <v>9060</v>
      </c>
      <c r="R26" s="13">
        <v>12830</v>
      </c>
      <c r="S26" s="13" t="s">
        <v>15</v>
      </c>
      <c r="T26" s="10" t="s">
        <v>19</v>
      </c>
      <c r="U26" s="13" t="s">
        <v>12</v>
      </c>
      <c r="V26" s="13">
        <v>16069576.331</v>
      </c>
      <c r="W26" s="15">
        <v>238715.09183012199</v>
      </c>
      <c r="X26" s="13">
        <f t="shared" si="3"/>
        <v>1.4855095549072692</v>
      </c>
    </row>
    <row r="27" spans="2:25">
      <c r="B27" s="186">
        <v>8</v>
      </c>
      <c r="C27" s="16">
        <v>1</v>
      </c>
      <c r="D27" s="16">
        <v>9059</v>
      </c>
      <c r="E27" s="16">
        <v>12824</v>
      </c>
      <c r="F27" s="16" t="s">
        <v>15</v>
      </c>
      <c r="G27" s="10" t="s">
        <v>213</v>
      </c>
      <c r="H27" s="16" t="s">
        <v>12</v>
      </c>
      <c r="I27" s="16">
        <v>14703434.736</v>
      </c>
      <c r="J27" s="18">
        <v>191428.02596954501</v>
      </c>
      <c r="K27" s="16">
        <f t="shared" si="2"/>
        <v>1.3019272667008288</v>
      </c>
      <c r="L27" s="4">
        <f>AVERAGE(K27:K29)</f>
        <v>1.3126842336302318</v>
      </c>
      <c r="O27" s="188">
        <v>8</v>
      </c>
      <c r="P27" s="19">
        <v>1</v>
      </c>
      <c r="Q27" s="19">
        <v>9480</v>
      </c>
      <c r="R27" s="19">
        <v>14317</v>
      </c>
      <c r="S27" s="19" t="s">
        <v>15</v>
      </c>
      <c r="T27" s="10" t="s">
        <v>19</v>
      </c>
      <c r="U27" s="19" t="s">
        <v>12</v>
      </c>
      <c r="V27" s="19">
        <v>14532797.755999999</v>
      </c>
      <c r="W27" s="18">
        <v>323104.66041526297</v>
      </c>
      <c r="X27" s="16">
        <f t="shared" si="3"/>
        <v>2.2232791361998157</v>
      </c>
      <c r="Y27" s="4">
        <f>AVERAGE(X27:X29)</f>
        <v>2.0730211689828169</v>
      </c>
    </row>
    <row r="28" spans="2:25">
      <c r="B28" s="186"/>
      <c r="C28" s="10">
        <v>2</v>
      </c>
      <c r="D28" s="10">
        <v>9059</v>
      </c>
      <c r="E28" s="10">
        <v>12824</v>
      </c>
      <c r="F28" s="10" t="s">
        <v>15</v>
      </c>
      <c r="G28" s="10" t="s">
        <v>213</v>
      </c>
      <c r="H28" s="10" t="s">
        <v>12</v>
      </c>
      <c r="I28" s="10">
        <v>14695930.540999999</v>
      </c>
      <c r="J28" s="12">
        <v>200531.63198951201</v>
      </c>
      <c r="K28" s="10">
        <f t="shared" si="2"/>
        <v>1.3645385124136999</v>
      </c>
      <c r="O28" s="186"/>
      <c r="P28" s="10">
        <v>2</v>
      </c>
      <c r="Q28" s="10">
        <v>9480</v>
      </c>
      <c r="R28" s="10">
        <v>14317</v>
      </c>
      <c r="S28" s="10" t="s">
        <v>15</v>
      </c>
      <c r="T28" s="10" t="s">
        <v>19</v>
      </c>
      <c r="U28" s="10" t="s">
        <v>12</v>
      </c>
      <c r="V28" s="10">
        <v>14601135.835999999</v>
      </c>
      <c r="W28" s="12">
        <v>332767.22497694998</v>
      </c>
      <c r="X28" s="10">
        <f t="shared" si="3"/>
        <v>2.2790502650930202</v>
      </c>
    </row>
    <row r="29" spans="2:25" ht="15" thickBot="1">
      <c r="B29" s="187"/>
      <c r="C29" s="10">
        <v>3</v>
      </c>
      <c r="D29" s="10">
        <v>9059</v>
      </c>
      <c r="E29" s="10">
        <v>12824</v>
      </c>
      <c r="F29" s="10" t="s">
        <v>15</v>
      </c>
      <c r="G29" s="10" t="s">
        <v>213</v>
      </c>
      <c r="H29" s="10" t="s">
        <v>12</v>
      </c>
      <c r="I29" s="10">
        <v>15695431.505999999</v>
      </c>
      <c r="J29" s="12">
        <v>199581.05434663201</v>
      </c>
      <c r="K29" s="10">
        <f t="shared" si="2"/>
        <v>1.2715869217761666</v>
      </c>
      <c r="O29" s="189"/>
      <c r="P29" s="13">
        <v>3</v>
      </c>
      <c r="Q29" s="13">
        <v>9480</v>
      </c>
      <c r="R29" s="13">
        <v>14317</v>
      </c>
      <c r="S29" s="13" t="s">
        <v>15</v>
      </c>
      <c r="T29" s="10" t="s">
        <v>19</v>
      </c>
      <c r="U29" s="13" t="s">
        <v>12</v>
      </c>
      <c r="V29" s="13">
        <v>14549276.346000001</v>
      </c>
      <c r="W29" s="15">
        <v>249772.389157867</v>
      </c>
      <c r="X29" s="13">
        <f t="shared" si="3"/>
        <v>1.7167341056556147</v>
      </c>
    </row>
    <row r="30" spans="2:25">
      <c r="O30" s="186">
        <v>9</v>
      </c>
      <c r="P30" s="16">
        <v>1</v>
      </c>
      <c r="Q30" s="16">
        <v>9481</v>
      </c>
      <c r="R30" s="16">
        <v>14323</v>
      </c>
      <c r="S30" s="16" t="s">
        <v>15</v>
      </c>
      <c r="T30" s="10" t="s">
        <v>19</v>
      </c>
      <c r="U30" s="16" t="s">
        <v>12</v>
      </c>
      <c r="V30" s="16">
        <v>10068568.210999999</v>
      </c>
      <c r="W30" s="18">
        <v>16523.055739633401</v>
      </c>
      <c r="X30" s="16">
        <f t="shared" si="3"/>
        <v>0.1641053165988568</v>
      </c>
      <c r="Y30" s="4">
        <f>AVERAGE(X30:X32)</f>
        <v>0.21813489803882483</v>
      </c>
    </row>
    <row r="31" spans="2:25">
      <c r="K31" s="5" t="s">
        <v>287</v>
      </c>
      <c r="L31" s="5">
        <f>AVERAGE(L6:L27)</f>
        <v>0.49038437235817289</v>
      </c>
      <c r="O31" s="186"/>
      <c r="P31" s="10">
        <v>2</v>
      </c>
      <c r="Q31" s="10">
        <v>9481</v>
      </c>
      <c r="R31" s="10">
        <v>14323</v>
      </c>
      <c r="S31" s="10" t="s">
        <v>15</v>
      </c>
      <c r="T31" s="10" t="s">
        <v>19</v>
      </c>
      <c r="U31" s="10" t="s">
        <v>12</v>
      </c>
      <c r="V31" s="10">
        <v>9919051.4759999998</v>
      </c>
      <c r="W31" s="12">
        <v>21344.357676307998</v>
      </c>
      <c r="X31" s="10">
        <f t="shared" si="3"/>
        <v>0.21518547139262773</v>
      </c>
    </row>
    <row r="32" spans="2:25">
      <c r="O32" s="187"/>
      <c r="P32" s="10">
        <v>3</v>
      </c>
      <c r="Q32" s="10">
        <v>9481</v>
      </c>
      <c r="R32" s="10">
        <v>14323</v>
      </c>
      <c r="S32" s="10" t="s">
        <v>15</v>
      </c>
      <c r="T32" s="10" t="s">
        <v>19</v>
      </c>
      <c r="U32" s="10" t="s">
        <v>12</v>
      </c>
      <c r="V32" s="10">
        <v>9998168.4790000003</v>
      </c>
      <c r="W32" s="12">
        <v>27506.351843534401</v>
      </c>
      <c r="X32" s="10">
        <f t="shared" si="3"/>
        <v>0.27511390612498998</v>
      </c>
    </row>
    <row r="33" spans="11:25">
      <c r="K33" s="74" t="s">
        <v>18</v>
      </c>
      <c r="L33" s="74">
        <f>_xlfn.T.TEST(L6:L27,Y6:Y30,2,3)</f>
        <v>8.1633952126922184E-3</v>
      </c>
    </row>
    <row r="34" spans="11:25">
      <c r="X34" s="7" t="s">
        <v>49</v>
      </c>
      <c r="Y34" s="7">
        <f>AVERAGE(Y6:Y30)</f>
        <v>1.5303544997453422</v>
      </c>
    </row>
  </sheetData>
  <mergeCells count="19">
    <mergeCell ref="B4:K4"/>
    <mergeCell ref="O4:X4"/>
    <mergeCell ref="B6:B8"/>
    <mergeCell ref="O6:O8"/>
    <mergeCell ref="B9:B11"/>
    <mergeCell ref="O9:O11"/>
    <mergeCell ref="B12:B14"/>
    <mergeCell ref="O12:O14"/>
    <mergeCell ref="B15:B17"/>
    <mergeCell ref="O15:O17"/>
    <mergeCell ref="B18:B20"/>
    <mergeCell ref="O18:O20"/>
    <mergeCell ref="B27:B29"/>
    <mergeCell ref="O27:O29"/>
    <mergeCell ref="O30:O32"/>
    <mergeCell ref="B21:B23"/>
    <mergeCell ref="O21:O23"/>
    <mergeCell ref="B24:B26"/>
    <mergeCell ref="O24:O2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08ED-DEC8-D14C-B526-88F0816A3858}">
  <dimension ref="B4:AB35"/>
  <sheetViews>
    <sheetView topLeftCell="P4" zoomScale="133" zoomScaleNormal="133" workbookViewId="0">
      <selection activeCell="K29" sqref="K29"/>
    </sheetView>
  </sheetViews>
  <sheetFormatPr baseColWidth="10" defaultRowHeight="14"/>
  <cols>
    <col min="1" max="1" width="10.83203125" style="4"/>
    <col min="2" max="2" width="20.83203125" style="4" customWidth="1"/>
    <col min="3" max="3" width="19.5" style="4" customWidth="1"/>
    <col min="4" max="5" width="11" style="4" bestFit="1" customWidth="1"/>
    <col min="6" max="8" width="10.83203125" style="4"/>
    <col min="9" max="10" width="11.83203125" style="4" bestFit="1" customWidth="1"/>
    <col min="11" max="12" width="11" style="4" bestFit="1" customWidth="1"/>
    <col min="13" max="13" width="11" style="4" customWidth="1"/>
    <col min="14" max="14" width="17" style="4" customWidth="1"/>
    <col min="15" max="15" width="18" style="4" customWidth="1"/>
    <col min="16" max="18" width="11" style="4" bestFit="1" customWidth="1"/>
    <col min="19" max="20" width="10.83203125" style="4"/>
    <col min="21" max="22" width="11.83203125" style="4" bestFit="1" customWidth="1"/>
    <col min="23" max="25" width="11" style="4" bestFit="1" customWidth="1"/>
    <col min="26" max="16384" width="10.83203125" style="4"/>
  </cols>
  <sheetData>
    <row r="4" spans="2:28">
      <c r="B4" s="5" t="s">
        <v>213</v>
      </c>
      <c r="C4" s="6"/>
      <c r="D4" s="6"/>
      <c r="E4" s="6"/>
      <c r="F4" s="6"/>
      <c r="G4" s="6"/>
      <c r="H4" s="6"/>
      <c r="I4" s="6"/>
      <c r="J4" s="6"/>
      <c r="N4" s="7" t="s">
        <v>19</v>
      </c>
      <c r="O4" s="6"/>
      <c r="P4" s="6"/>
      <c r="Q4" s="6"/>
      <c r="R4" s="6"/>
      <c r="S4" s="6"/>
      <c r="T4" s="6"/>
      <c r="U4" s="6"/>
      <c r="V4" s="6"/>
      <c r="W4" s="6"/>
      <c r="AA4" s="6"/>
      <c r="AB4" s="6"/>
    </row>
    <row r="5" spans="2:28"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20</v>
      </c>
      <c r="K5" s="5" t="s">
        <v>21</v>
      </c>
      <c r="L5" s="5" t="s">
        <v>17</v>
      </c>
      <c r="M5" s="5" t="s">
        <v>31</v>
      </c>
      <c r="N5" s="7" t="s">
        <v>0</v>
      </c>
      <c r="O5" s="7" t="s">
        <v>1</v>
      </c>
      <c r="P5" s="7" t="s">
        <v>2</v>
      </c>
      <c r="Q5" s="7" t="s">
        <v>3</v>
      </c>
      <c r="R5" s="7" t="s">
        <v>4</v>
      </c>
      <c r="S5" s="7" t="s">
        <v>5</v>
      </c>
      <c r="T5" s="7" t="s">
        <v>6</v>
      </c>
      <c r="U5" s="7" t="s">
        <v>7</v>
      </c>
      <c r="V5" s="7" t="s">
        <v>20</v>
      </c>
      <c r="W5" s="7" t="s">
        <v>21</v>
      </c>
      <c r="X5" s="7" t="s">
        <v>17</v>
      </c>
      <c r="Y5" s="7" t="s">
        <v>31</v>
      </c>
    </row>
    <row r="6" spans="2:28">
      <c r="B6" s="4">
        <v>1</v>
      </c>
      <c r="C6" s="4">
        <v>1</v>
      </c>
      <c r="D6" s="4">
        <v>7605</v>
      </c>
      <c r="E6" s="4">
        <v>7391</v>
      </c>
      <c r="F6" s="4" t="s">
        <v>10</v>
      </c>
      <c r="G6" s="4" t="s">
        <v>11</v>
      </c>
      <c r="H6" s="4" t="s">
        <v>12</v>
      </c>
      <c r="I6" s="4">
        <v>13107263</v>
      </c>
      <c r="J6" s="4">
        <v>16587.07</v>
      </c>
      <c r="K6" s="4">
        <v>0.12654899999999999</v>
      </c>
      <c r="L6" s="4">
        <v>0.10741386999999999</v>
      </c>
      <c r="M6" s="4">
        <f>STDEV(L6:L26)</f>
        <v>0.30245698983725949</v>
      </c>
      <c r="N6" s="4">
        <v>1</v>
      </c>
      <c r="O6" s="4">
        <v>1</v>
      </c>
      <c r="P6" s="4">
        <v>9234</v>
      </c>
      <c r="Q6" s="4">
        <v>7387</v>
      </c>
      <c r="R6" s="4" t="s">
        <v>10</v>
      </c>
      <c r="S6" s="4" t="s">
        <v>13</v>
      </c>
      <c r="T6" s="4" t="s">
        <v>12</v>
      </c>
      <c r="U6" s="4">
        <v>12690553</v>
      </c>
      <c r="V6" s="4">
        <v>120563.1</v>
      </c>
      <c r="W6" s="4">
        <v>0.95002200000000003</v>
      </c>
      <c r="X6" s="4">
        <v>1.2858535900000001</v>
      </c>
      <c r="Y6" s="4">
        <f>STDEV(X6:X29)</f>
        <v>1.1316367166699799</v>
      </c>
    </row>
    <row r="7" spans="2:28">
      <c r="C7" s="4">
        <v>2</v>
      </c>
      <c r="D7" s="4">
        <v>7605</v>
      </c>
      <c r="E7" s="4">
        <v>7391</v>
      </c>
      <c r="F7" s="4" t="s">
        <v>10</v>
      </c>
      <c r="G7" s="4" t="s">
        <v>11</v>
      </c>
      <c r="H7" s="4" t="s">
        <v>12</v>
      </c>
      <c r="I7" s="4">
        <v>13282013</v>
      </c>
      <c r="J7" s="4">
        <v>17875.68</v>
      </c>
      <c r="K7" s="4">
        <v>0.13458600000000001</v>
      </c>
      <c r="O7" s="4">
        <v>2</v>
      </c>
      <c r="P7" s="4">
        <v>9234</v>
      </c>
      <c r="Q7" s="4">
        <v>7387</v>
      </c>
      <c r="R7" s="4" t="s">
        <v>10</v>
      </c>
      <c r="S7" s="4" t="s">
        <v>13</v>
      </c>
      <c r="T7" s="4" t="s">
        <v>12</v>
      </c>
      <c r="U7" s="4">
        <v>12497570</v>
      </c>
      <c r="V7" s="4">
        <v>80112.820000000007</v>
      </c>
      <c r="W7" s="4">
        <v>0.64102700000000001</v>
      </c>
    </row>
    <row r="8" spans="2:28">
      <c r="C8" s="4">
        <v>3</v>
      </c>
      <c r="D8" s="4">
        <v>7605</v>
      </c>
      <c r="E8" s="4">
        <v>7391</v>
      </c>
      <c r="F8" s="4" t="s">
        <v>10</v>
      </c>
      <c r="G8" s="4" t="s">
        <v>11</v>
      </c>
      <c r="H8" s="4" t="s">
        <v>12</v>
      </c>
      <c r="I8" s="4">
        <v>13591942</v>
      </c>
      <c r="J8" s="4">
        <v>8305.67</v>
      </c>
      <c r="K8" s="4">
        <v>6.1107000000000002E-2</v>
      </c>
      <c r="O8" s="4">
        <v>3</v>
      </c>
      <c r="P8" s="4">
        <v>9234</v>
      </c>
      <c r="Q8" s="4">
        <v>7387</v>
      </c>
      <c r="R8" s="4" t="s">
        <v>10</v>
      </c>
      <c r="S8" s="4" t="s">
        <v>13</v>
      </c>
      <c r="T8" s="4" t="s">
        <v>12</v>
      </c>
      <c r="U8" s="4">
        <v>13407946</v>
      </c>
      <c r="V8" s="4">
        <v>303892.7</v>
      </c>
      <c r="W8" s="4">
        <v>2.2665120000000001</v>
      </c>
    </row>
    <row r="9" spans="2:28">
      <c r="B9" s="4">
        <v>2</v>
      </c>
      <c r="C9" s="4">
        <v>1</v>
      </c>
      <c r="D9" s="4">
        <v>7731</v>
      </c>
      <c r="E9" s="4">
        <v>7390</v>
      </c>
      <c r="F9" s="4" t="s">
        <v>10</v>
      </c>
      <c r="G9" s="4" t="s">
        <v>11</v>
      </c>
      <c r="H9" s="4" t="s">
        <v>12</v>
      </c>
      <c r="I9" s="4">
        <v>10719982</v>
      </c>
      <c r="J9" s="4">
        <v>15229.43</v>
      </c>
      <c r="K9" s="4">
        <v>0.142066</v>
      </c>
      <c r="L9" s="4">
        <v>7.9802629999999999E-2</v>
      </c>
      <c r="N9" s="4">
        <v>2</v>
      </c>
      <c r="O9" s="4">
        <v>1</v>
      </c>
      <c r="P9" s="4">
        <v>9236</v>
      </c>
      <c r="Q9" s="4">
        <v>7388</v>
      </c>
      <c r="R9" s="4" t="s">
        <v>10</v>
      </c>
      <c r="S9" s="4" t="s">
        <v>13</v>
      </c>
      <c r="T9" s="4" t="s">
        <v>12</v>
      </c>
      <c r="U9" s="4">
        <v>8122072</v>
      </c>
      <c r="V9" s="4">
        <v>11050.29</v>
      </c>
      <c r="W9" s="4">
        <v>0.13605300000000001</v>
      </c>
      <c r="X9" s="4">
        <v>0.21445068</v>
      </c>
    </row>
    <row r="10" spans="2:28">
      <c r="C10" s="4">
        <v>2</v>
      </c>
      <c r="D10" s="4">
        <v>7731</v>
      </c>
      <c r="E10" s="4">
        <v>7390</v>
      </c>
      <c r="F10" s="4" t="s">
        <v>10</v>
      </c>
      <c r="G10" s="4" t="s">
        <v>11</v>
      </c>
      <c r="H10" s="4" t="s">
        <v>12</v>
      </c>
      <c r="I10" s="4">
        <v>13149043</v>
      </c>
      <c r="J10" s="4">
        <v>4995.4799999999996</v>
      </c>
      <c r="K10" s="4">
        <v>3.7990999999999997E-2</v>
      </c>
      <c r="O10" s="4">
        <v>2</v>
      </c>
      <c r="P10" s="4">
        <v>9236</v>
      </c>
      <c r="Q10" s="4">
        <v>7388</v>
      </c>
      <c r="R10" s="4" t="s">
        <v>10</v>
      </c>
      <c r="S10" s="4" t="s">
        <v>13</v>
      </c>
      <c r="T10" s="4" t="s">
        <v>12</v>
      </c>
      <c r="U10" s="4">
        <v>9749417</v>
      </c>
      <c r="V10" s="4">
        <v>24945.56</v>
      </c>
      <c r="W10" s="4">
        <v>0.25586700000000001</v>
      </c>
    </row>
    <row r="11" spans="2:28">
      <c r="C11" s="4">
        <v>3</v>
      </c>
      <c r="D11" s="4">
        <v>7731</v>
      </c>
      <c r="E11" s="4">
        <v>7390</v>
      </c>
      <c r="F11" s="4" t="s">
        <v>10</v>
      </c>
      <c r="G11" s="4" t="s">
        <v>11</v>
      </c>
      <c r="H11" s="4" t="s">
        <v>12</v>
      </c>
      <c r="I11" s="4">
        <v>12716696</v>
      </c>
      <c r="J11" s="4">
        <v>7547.47</v>
      </c>
      <c r="K11" s="4">
        <v>5.9351000000000001E-2</v>
      </c>
      <c r="O11" s="4">
        <v>3</v>
      </c>
      <c r="P11" s="4">
        <v>9236</v>
      </c>
      <c r="Q11" s="4">
        <v>7388</v>
      </c>
      <c r="R11" s="4" t="s">
        <v>10</v>
      </c>
      <c r="S11" s="4" t="s">
        <v>13</v>
      </c>
      <c r="T11" s="4" t="s">
        <v>12</v>
      </c>
      <c r="U11" s="4">
        <v>9367489</v>
      </c>
      <c r="V11" s="4">
        <v>23552.89</v>
      </c>
      <c r="W11" s="4">
        <v>0.25143199999999999</v>
      </c>
    </row>
    <row r="12" spans="2:28">
      <c r="B12" s="4">
        <v>3</v>
      </c>
      <c r="C12" s="4">
        <v>1</v>
      </c>
      <c r="D12" s="4">
        <v>7733</v>
      </c>
      <c r="E12" s="4">
        <v>7393</v>
      </c>
      <c r="F12" s="4" t="s">
        <v>10</v>
      </c>
      <c r="G12" s="4" t="s">
        <v>11</v>
      </c>
      <c r="H12" s="4" t="s">
        <v>12</v>
      </c>
      <c r="I12" s="4">
        <v>6568764</v>
      </c>
      <c r="J12" s="4">
        <v>31430.94</v>
      </c>
      <c r="K12" s="4">
        <v>0.478491</v>
      </c>
      <c r="L12" s="4">
        <v>0.44809524000000001</v>
      </c>
      <c r="N12" s="4">
        <v>3</v>
      </c>
      <c r="O12" s="4">
        <v>1</v>
      </c>
      <c r="P12" s="4">
        <v>8018</v>
      </c>
      <c r="Q12" s="4">
        <v>7978</v>
      </c>
      <c r="R12" s="4" t="s">
        <v>10</v>
      </c>
      <c r="S12" s="4" t="s">
        <v>13</v>
      </c>
      <c r="T12" s="4" t="s">
        <v>12</v>
      </c>
      <c r="U12" s="4">
        <v>14707529</v>
      </c>
      <c r="V12" s="4">
        <v>77023.3</v>
      </c>
      <c r="W12" s="4">
        <v>0.52370000000000005</v>
      </c>
      <c r="X12" s="4">
        <v>1.6136204700000001</v>
      </c>
    </row>
    <row r="13" spans="2:28">
      <c r="C13" s="4">
        <v>2</v>
      </c>
      <c r="D13" s="4">
        <v>7733</v>
      </c>
      <c r="E13" s="4">
        <v>7393</v>
      </c>
      <c r="F13" s="4" t="s">
        <v>10</v>
      </c>
      <c r="G13" s="4" t="s">
        <v>11</v>
      </c>
      <c r="H13" s="4" t="s">
        <v>12</v>
      </c>
      <c r="I13" s="4">
        <v>6944064</v>
      </c>
      <c r="J13" s="4">
        <v>33017.879999999997</v>
      </c>
      <c r="K13" s="4">
        <v>0.47548400000000002</v>
      </c>
      <c r="O13" s="4">
        <v>2</v>
      </c>
      <c r="P13" s="4">
        <v>8018</v>
      </c>
      <c r="Q13" s="4">
        <v>7978</v>
      </c>
      <c r="R13" s="4" t="s">
        <v>10</v>
      </c>
      <c r="S13" s="4" t="s">
        <v>13</v>
      </c>
      <c r="T13" s="4" t="s">
        <v>12</v>
      </c>
      <c r="U13" s="4">
        <v>9729146</v>
      </c>
      <c r="V13" s="4">
        <v>201690.1</v>
      </c>
      <c r="W13" s="4">
        <v>2.073051</v>
      </c>
    </row>
    <row r="14" spans="2:28">
      <c r="C14" s="4">
        <v>3</v>
      </c>
      <c r="D14" s="4">
        <v>7733</v>
      </c>
      <c r="E14" s="4">
        <v>7393</v>
      </c>
      <c r="F14" s="4" t="s">
        <v>10</v>
      </c>
      <c r="G14" s="4" t="s">
        <v>11</v>
      </c>
      <c r="H14" s="4" t="s">
        <v>12</v>
      </c>
      <c r="I14" s="4">
        <v>6809357</v>
      </c>
      <c r="J14" s="4">
        <v>26577.69</v>
      </c>
      <c r="K14" s="4">
        <v>0.39031100000000002</v>
      </c>
      <c r="O14" s="4">
        <v>3</v>
      </c>
      <c r="P14" s="4">
        <v>8018</v>
      </c>
      <c r="Q14" s="4">
        <v>7978</v>
      </c>
      <c r="R14" s="4" t="s">
        <v>10</v>
      </c>
      <c r="S14" s="4" t="s">
        <v>13</v>
      </c>
      <c r="T14" s="4" t="s">
        <v>12</v>
      </c>
      <c r="U14" s="4">
        <v>10171496</v>
      </c>
      <c r="V14" s="4">
        <v>228259.7</v>
      </c>
      <c r="W14" s="4">
        <v>2.2441110000000002</v>
      </c>
    </row>
    <row r="15" spans="2:28">
      <c r="B15" s="4">
        <v>4</v>
      </c>
      <c r="C15" s="4">
        <v>1</v>
      </c>
      <c r="D15" s="4">
        <v>7734</v>
      </c>
      <c r="E15" s="4">
        <v>7392</v>
      </c>
      <c r="F15" s="4" t="s">
        <v>10</v>
      </c>
      <c r="G15" s="4" t="s">
        <v>11</v>
      </c>
      <c r="H15" s="4" t="s">
        <v>12</v>
      </c>
      <c r="I15" s="4">
        <v>8339903</v>
      </c>
      <c r="J15" s="4">
        <v>41366.01</v>
      </c>
      <c r="K15" s="4">
        <v>0.49600100000000003</v>
      </c>
      <c r="L15" s="4">
        <v>0.57386886999999998</v>
      </c>
      <c r="N15" s="4">
        <v>4</v>
      </c>
      <c r="O15" s="4">
        <v>1</v>
      </c>
      <c r="P15" s="4">
        <v>8019</v>
      </c>
      <c r="Q15" s="4">
        <v>7980</v>
      </c>
      <c r="R15" s="4" t="s">
        <v>10</v>
      </c>
      <c r="S15" s="4" t="s">
        <v>13</v>
      </c>
      <c r="T15" s="4" t="s">
        <v>12</v>
      </c>
      <c r="U15" s="4">
        <v>8977298</v>
      </c>
      <c r="V15" s="4">
        <v>67143.38</v>
      </c>
      <c r="W15" s="4">
        <v>0.74792400000000003</v>
      </c>
      <c r="X15" s="4">
        <v>0.76264803000000003</v>
      </c>
    </row>
    <row r="16" spans="2:28">
      <c r="C16" s="4">
        <v>2</v>
      </c>
      <c r="D16" s="4">
        <v>7734</v>
      </c>
      <c r="E16" s="4">
        <v>7392</v>
      </c>
      <c r="F16" s="4" t="s">
        <v>10</v>
      </c>
      <c r="G16" s="4" t="s">
        <v>11</v>
      </c>
      <c r="H16" s="4" t="s">
        <v>12</v>
      </c>
      <c r="I16" s="4">
        <v>10662021</v>
      </c>
      <c r="J16" s="4">
        <v>61622.23</v>
      </c>
      <c r="K16" s="4">
        <v>0.57796000000000003</v>
      </c>
      <c r="O16" s="4">
        <v>2</v>
      </c>
      <c r="P16" s="4">
        <v>8019</v>
      </c>
      <c r="Q16" s="4">
        <v>7980</v>
      </c>
      <c r="R16" s="4" t="s">
        <v>10</v>
      </c>
      <c r="S16" s="4" t="s">
        <v>13</v>
      </c>
      <c r="T16" s="4" t="s">
        <v>12</v>
      </c>
      <c r="U16" s="4">
        <v>7940173</v>
      </c>
      <c r="V16" s="4">
        <v>57548.09</v>
      </c>
      <c r="W16" s="4">
        <v>0.72477100000000005</v>
      </c>
    </row>
    <row r="17" spans="2:24">
      <c r="C17" s="4">
        <v>3</v>
      </c>
      <c r="D17" s="4">
        <v>7734</v>
      </c>
      <c r="E17" s="4">
        <v>7392</v>
      </c>
      <c r="F17" s="4" t="s">
        <v>10</v>
      </c>
      <c r="G17" s="4" t="s">
        <v>11</v>
      </c>
      <c r="H17" s="4" t="s">
        <v>12</v>
      </c>
      <c r="I17" s="4">
        <v>10621267</v>
      </c>
      <c r="J17" s="4">
        <v>68788.149999999994</v>
      </c>
      <c r="K17" s="4">
        <v>0.64764500000000003</v>
      </c>
      <c r="O17" s="4">
        <v>3</v>
      </c>
      <c r="P17" s="4">
        <v>8019</v>
      </c>
      <c r="Q17" s="4">
        <v>7980</v>
      </c>
      <c r="R17" s="4" t="s">
        <v>10</v>
      </c>
      <c r="S17" s="4" t="s">
        <v>13</v>
      </c>
      <c r="T17" s="4" t="s">
        <v>12</v>
      </c>
      <c r="U17" s="4">
        <v>8100548</v>
      </c>
      <c r="V17" s="4">
        <v>66039.61</v>
      </c>
      <c r="W17" s="4">
        <v>0.815249</v>
      </c>
    </row>
    <row r="18" spans="2:24">
      <c r="B18" s="4">
        <v>5</v>
      </c>
      <c r="C18" s="4">
        <v>1</v>
      </c>
      <c r="D18" s="4" t="s">
        <v>14</v>
      </c>
      <c r="E18" s="4">
        <v>8037</v>
      </c>
      <c r="F18" s="4" t="s">
        <v>10</v>
      </c>
      <c r="G18" s="4" t="s">
        <v>11</v>
      </c>
      <c r="H18" s="4" t="s">
        <v>12</v>
      </c>
      <c r="I18" s="4">
        <v>6266256</v>
      </c>
      <c r="J18" s="4">
        <v>21864.53</v>
      </c>
      <c r="K18" s="4">
        <v>0.34892499999999999</v>
      </c>
      <c r="L18" s="4">
        <v>0.49735942</v>
      </c>
      <c r="N18" s="4">
        <v>5</v>
      </c>
      <c r="O18" s="4">
        <v>1</v>
      </c>
      <c r="P18" s="4">
        <v>8020</v>
      </c>
      <c r="Q18" s="4">
        <v>7982</v>
      </c>
      <c r="R18" s="4" t="s">
        <v>10</v>
      </c>
      <c r="S18" s="4" t="s">
        <v>13</v>
      </c>
      <c r="T18" s="4" t="s">
        <v>12</v>
      </c>
      <c r="U18" s="4">
        <v>11704982</v>
      </c>
      <c r="V18" s="4">
        <v>63742.77</v>
      </c>
      <c r="W18" s="4">
        <v>0.54457800000000001</v>
      </c>
      <c r="X18" s="4">
        <v>0.54457809999999995</v>
      </c>
    </row>
    <row r="19" spans="2:24">
      <c r="C19" s="4">
        <v>2</v>
      </c>
      <c r="D19" s="4" t="s">
        <v>14</v>
      </c>
      <c r="E19" s="4">
        <v>8037</v>
      </c>
      <c r="F19" s="4" t="s">
        <v>10</v>
      </c>
      <c r="G19" s="4" t="s">
        <v>11</v>
      </c>
      <c r="H19" s="4" t="s">
        <v>12</v>
      </c>
      <c r="I19" s="4">
        <v>6280921</v>
      </c>
      <c r="J19" s="4">
        <v>36429.410000000003</v>
      </c>
      <c r="K19" s="4">
        <v>0.58000099999999999</v>
      </c>
    </row>
    <row r="20" spans="2:24">
      <c r="B20" s="4">
        <v>6</v>
      </c>
      <c r="C20" s="4">
        <v>1</v>
      </c>
      <c r="D20" s="4">
        <v>9056</v>
      </c>
      <c r="E20" s="4">
        <v>12806</v>
      </c>
      <c r="F20" s="4" t="s">
        <v>15</v>
      </c>
      <c r="G20" s="4" t="s">
        <v>16</v>
      </c>
      <c r="H20" s="4" t="s">
        <v>12</v>
      </c>
      <c r="I20" s="8">
        <v>12000000</v>
      </c>
      <c r="J20" s="4">
        <v>23915.7</v>
      </c>
      <c r="K20" s="4">
        <v>0.19193499999999999</v>
      </c>
      <c r="L20" s="4">
        <v>0.19603802000000001</v>
      </c>
      <c r="N20" s="4">
        <v>6</v>
      </c>
      <c r="O20" s="4">
        <v>1</v>
      </c>
      <c r="P20" s="4">
        <v>9057</v>
      </c>
      <c r="Q20" s="4">
        <v>12812</v>
      </c>
      <c r="R20" s="4" t="s">
        <v>15</v>
      </c>
      <c r="S20" s="4" t="s">
        <v>13</v>
      </c>
      <c r="T20" s="4" t="s">
        <v>12</v>
      </c>
      <c r="U20" s="8">
        <v>14000000</v>
      </c>
      <c r="V20" s="4">
        <v>802495</v>
      </c>
      <c r="W20" s="4">
        <v>5.8513169999999999</v>
      </c>
      <c r="X20" s="4">
        <v>3.0326241399999998</v>
      </c>
    </row>
    <row r="21" spans="2:24">
      <c r="C21" s="4">
        <v>2</v>
      </c>
      <c r="D21" s="4">
        <v>9056</v>
      </c>
      <c r="E21" s="4">
        <v>12806</v>
      </c>
      <c r="F21" s="4" t="s">
        <v>15</v>
      </c>
      <c r="G21" s="4" t="s">
        <v>16</v>
      </c>
      <c r="H21" s="4" t="s">
        <v>12</v>
      </c>
      <c r="I21" s="8">
        <v>12000000</v>
      </c>
      <c r="J21" s="4">
        <v>28039.29</v>
      </c>
      <c r="K21" s="4">
        <v>0.22479499999999999</v>
      </c>
      <c r="O21" s="4">
        <v>2</v>
      </c>
      <c r="P21" s="4">
        <v>9057</v>
      </c>
      <c r="Q21" s="4">
        <v>12812</v>
      </c>
      <c r="R21" s="4" t="s">
        <v>15</v>
      </c>
      <c r="S21" s="4" t="s">
        <v>13</v>
      </c>
      <c r="T21" s="4" t="s">
        <v>12</v>
      </c>
      <c r="U21" s="4">
        <v>13597843</v>
      </c>
      <c r="V21" s="4">
        <v>212620.1</v>
      </c>
      <c r="W21" s="4">
        <v>1.563631</v>
      </c>
    </row>
    <row r="22" spans="2:24">
      <c r="C22" s="4">
        <v>3</v>
      </c>
      <c r="D22" s="4">
        <v>9056</v>
      </c>
      <c r="E22" s="4">
        <v>12806</v>
      </c>
      <c r="F22" s="4" t="s">
        <v>15</v>
      </c>
      <c r="G22" s="4" t="s">
        <v>16</v>
      </c>
      <c r="H22" s="4" t="s">
        <v>12</v>
      </c>
      <c r="I22" s="8">
        <v>12000000</v>
      </c>
      <c r="J22" s="4">
        <v>21342.639999999999</v>
      </c>
      <c r="K22" s="4">
        <v>0.17138400000000001</v>
      </c>
      <c r="O22" s="4">
        <v>3</v>
      </c>
      <c r="P22" s="4">
        <v>9057</v>
      </c>
      <c r="Q22" s="4">
        <v>12812</v>
      </c>
      <c r="R22" s="4" t="s">
        <v>15</v>
      </c>
      <c r="S22" s="4" t="s">
        <v>13</v>
      </c>
      <c r="T22" s="4" t="s">
        <v>12</v>
      </c>
      <c r="U22" s="4">
        <v>13645008</v>
      </c>
      <c r="V22" s="4">
        <v>229635.1</v>
      </c>
      <c r="W22" s="4">
        <v>1.6829240000000001</v>
      </c>
    </row>
    <row r="23" spans="2:24">
      <c r="B23" s="4">
        <v>7</v>
      </c>
      <c r="C23" s="4">
        <v>1</v>
      </c>
      <c r="D23" s="4">
        <v>9058</v>
      </c>
      <c r="E23" s="4">
        <v>12818</v>
      </c>
      <c r="F23" s="4" t="s">
        <v>15</v>
      </c>
      <c r="G23" s="4" t="s">
        <v>16</v>
      </c>
      <c r="H23" s="4" t="s">
        <v>12</v>
      </c>
      <c r="I23" s="8">
        <v>13000000</v>
      </c>
      <c r="J23" s="4">
        <v>84255.8</v>
      </c>
      <c r="K23" s="4">
        <v>0.66717899999999997</v>
      </c>
      <c r="L23" s="4">
        <v>0.47765454000000002</v>
      </c>
      <c r="N23" s="4">
        <v>7</v>
      </c>
      <c r="O23" s="4">
        <v>1</v>
      </c>
      <c r="P23" s="4">
        <v>9060</v>
      </c>
      <c r="Q23" s="4">
        <v>12830</v>
      </c>
      <c r="R23" s="4" t="s">
        <v>15</v>
      </c>
      <c r="S23" s="4" t="s">
        <v>13</v>
      </c>
      <c r="T23" s="4" t="s">
        <v>12</v>
      </c>
      <c r="U23" s="8">
        <v>16000000</v>
      </c>
      <c r="V23" s="4">
        <v>218622</v>
      </c>
      <c r="W23" s="4">
        <v>1.3631530000000001</v>
      </c>
      <c r="X23" s="4">
        <v>1.3551801000000001</v>
      </c>
    </row>
    <row r="24" spans="2:24">
      <c r="C24" s="4">
        <v>2</v>
      </c>
      <c r="D24" s="4">
        <v>9058</v>
      </c>
      <c r="E24" s="4">
        <v>12818</v>
      </c>
      <c r="F24" s="4" t="s">
        <v>15</v>
      </c>
      <c r="G24" s="4" t="s">
        <v>16</v>
      </c>
      <c r="H24" s="4" t="s">
        <v>12</v>
      </c>
      <c r="I24" s="4">
        <v>12536138</v>
      </c>
      <c r="J24" s="4">
        <v>56480.38</v>
      </c>
      <c r="K24" s="4">
        <v>0.45054100000000002</v>
      </c>
      <c r="O24" s="4">
        <v>2</v>
      </c>
      <c r="P24" s="4">
        <v>9060</v>
      </c>
      <c r="Q24" s="4">
        <v>12830</v>
      </c>
      <c r="R24" s="4" t="s">
        <v>15</v>
      </c>
      <c r="S24" s="4" t="s">
        <v>13</v>
      </c>
      <c r="T24" s="4" t="s">
        <v>12</v>
      </c>
      <c r="U24" s="4">
        <v>16055795</v>
      </c>
      <c r="V24" s="4">
        <v>156779.6</v>
      </c>
      <c r="W24" s="4">
        <v>0.976468</v>
      </c>
    </row>
    <row r="25" spans="2:24">
      <c r="C25" s="4">
        <v>3</v>
      </c>
      <c r="D25" s="4">
        <v>9058</v>
      </c>
      <c r="E25" s="4">
        <v>12818</v>
      </c>
      <c r="F25" s="4" t="s">
        <v>15</v>
      </c>
      <c r="G25" s="4" t="s">
        <v>16</v>
      </c>
      <c r="H25" s="4" t="s">
        <v>12</v>
      </c>
      <c r="I25" s="4">
        <v>12882637</v>
      </c>
      <c r="J25" s="4">
        <v>40611.760000000002</v>
      </c>
      <c r="K25" s="4">
        <v>0.31524400000000002</v>
      </c>
      <c r="O25" s="4">
        <v>3</v>
      </c>
      <c r="P25" s="4">
        <v>9060</v>
      </c>
      <c r="Q25" s="4">
        <v>12830</v>
      </c>
      <c r="R25" s="4" t="s">
        <v>15</v>
      </c>
      <c r="S25" s="4" t="s">
        <v>13</v>
      </c>
      <c r="T25" s="4" t="s">
        <v>12</v>
      </c>
      <c r="U25" s="4">
        <v>16029459</v>
      </c>
      <c r="V25" s="4">
        <v>276655.7</v>
      </c>
      <c r="W25" s="4">
        <v>1.7259199999999999</v>
      </c>
    </row>
    <row r="26" spans="2:24">
      <c r="B26" s="4">
        <v>8</v>
      </c>
      <c r="C26" s="4">
        <v>1</v>
      </c>
      <c r="D26" s="4">
        <v>9059</v>
      </c>
      <c r="E26" s="4">
        <v>12824</v>
      </c>
      <c r="F26" s="4" t="s">
        <v>15</v>
      </c>
      <c r="G26" s="4" t="s">
        <v>16</v>
      </c>
      <c r="H26" s="4" t="s">
        <v>12</v>
      </c>
      <c r="I26" s="8">
        <v>16000000</v>
      </c>
      <c r="J26" s="4">
        <v>106799</v>
      </c>
      <c r="K26" s="4">
        <v>0.68862199999999996</v>
      </c>
      <c r="L26" s="4">
        <v>1.0057209300000001</v>
      </c>
      <c r="N26" s="4">
        <v>8</v>
      </c>
      <c r="O26" s="4">
        <v>1</v>
      </c>
      <c r="P26" s="4">
        <v>9480</v>
      </c>
      <c r="Q26" s="4">
        <v>14317</v>
      </c>
      <c r="R26" s="4" t="s">
        <v>15</v>
      </c>
      <c r="S26" s="4" t="s">
        <v>13</v>
      </c>
      <c r="T26" s="4" t="s">
        <v>12</v>
      </c>
      <c r="U26" s="8">
        <v>14000000</v>
      </c>
      <c r="V26" s="4">
        <v>407932</v>
      </c>
      <c r="W26" s="4">
        <v>2.9560490000000001</v>
      </c>
      <c r="X26" s="4">
        <v>3.2266990899999999</v>
      </c>
    </row>
    <row r="27" spans="2:24">
      <c r="C27" s="4">
        <v>2</v>
      </c>
      <c r="D27" s="4">
        <v>9059</v>
      </c>
      <c r="E27" s="4">
        <v>12824</v>
      </c>
      <c r="F27" s="4" t="s">
        <v>15</v>
      </c>
      <c r="G27" s="4" t="s">
        <v>16</v>
      </c>
      <c r="H27" s="4" t="s">
        <v>12</v>
      </c>
      <c r="I27" s="4">
        <v>15975002</v>
      </c>
      <c r="J27" s="4">
        <v>148669.5</v>
      </c>
      <c r="K27" s="4">
        <v>0.93063799999999997</v>
      </c>
      <c r="O27" s="4">
        <v>2</v>
      </c>
      <c r="P27" s="4">
        <v>9480</v>
      </c>
      <c r="Q27" s="4">
        <v>14317</v>
      </c>
      <c r="R27" s="4" t="s">
        <v>15</v>
      </c>
      <c r="S27" s="4" t="s">
        <v>13</v>
      </c>
      <c r="T27" s="4" t="s">
        <v>12</v>
      </c>
      <c r="U27" s="4">
        <v>14004701</v>
      </c>
      <c r="V27" s="4">
        <v>375312.5</v>
      </c>
      <c r="W27" s="4">
        <v>2.6799040000000001</v>
      </c>
    </row>
    <row r="28" spans="2:24">
      <c r="C28" s="4">
        <v>3</v>
      </c>
      <c r="D28" s="4">
        <v>9059</v>
      </c>
      <c r="E28" s="4">
        <v>12824</v>
      </c>
      <c r="F28" s="4" t="s">
        <v>15</v>
      </c>
      <c r="G28" s="4" t="s">
        <v>16</v>
      </c>
      <c r="H28" s="4" t="s">
        <v>12</v>
      </c>
      <c r="I28" s="4">
        <v>15272967</v>
      </c>
      <c r="J28" s="4">
        <v>213501.2</v>
      </c>
      <c r="K28" s="4">
        <v>1.3979029999999999</v>
      </c>
      <c r="O28" s="4">
        <v>3</v>
      </c>
      <c r="P28" s="4">
        <v>9480</v>
      </c>
      <c r="Q28" s="4">
        <v>14317</v>
      </c>
      <c r="R28" s="4" t="s">
        <v>15</v>
      </c>
      <c r="S28" s="4" t="s">
        <v>13</v>
      </c>
      <c r="T28" s="4" t="s">
        <v>12</v>
      </c>
      <c r="U28" s="4">
        <v>14542111</v>
      </c>
      <c r="V28" s="4">
        <v>588104</v>
      </c>
      <c r="W28" s="4">
        <v>4.0441450000000003</v>
      </c>
    </row>
    <row r="29" spans="2:24">
      <c r="K29" s="5" t="s">
        <v>287</v>
      </c>
      <c r="L29" s="5">
        <f>AVERAGE(L6:L26)</f>
        <v>0.42324419000000002</v>
      </c>
      <c r="M29" s="5"/>
      <c r="N29" s="4">
        <v>9</v>
      </c>
      <c r="O29" s="4">
        <v>1</v>
      </c>
      <c r="P29" s="4">
        <v>9481</v>
      </c>
      <c r="Q29" s="4">
        <v>14323</v>
      </c>
      <c r="R29" s="4" t="s">
        <v>15</v>
      </c>
      <c r="S29" s="4" t="s">
        <v>13</v>
      </c>
      <c r="T29" s="4" t="s">
        <v>12</v>
      </c>
      <c r="U29" s="4">
        <v>8382483</v>
      </c>
      <c r="V29" s="4">
        <v>3936.67</v>
      </c>
      <c r="W29" s="4">
        <v>4.6962999999999998E-2</v>
      </c>
      <c r="X29" s="4">
        <v>0.11113174000000001</v>
      </c>
    </row>
    <row r="30" spans="2:24">
      <c r="K30" s="9" t="s">
        <v>98</v>
      </c>
      <c r="L30" s="87">
        <f>_xlfn.T.TEST(L6:L26,X6:X29,2,3)</f>
        <v>4.1635314467999077E-2</v>
      </c>
      <c r="M30" s="9"/>
      <c r="O30" s="4">
        <v>2</v>
      </c>
      <c r="P30" s="4">
        <v>9481</v>
      </c>
      <c r="Q30" s="4">
        <v>14323</v>
      </c>
      <c r="R30" s="4" t="s">
        <v>15</v>
      </c>
      <c r="S30" s="4" t="s">
        <v>13</v>
      </c>
      <c r="T30" s="4" t="s">
        <v>12</v>
      </c>
      <c r="U30" s="4">
        <v>10194260</v>
      </c>
      <c r="V30" s="4">
        <v>15466.38</v>
      </c>
      <c r="W30" s="4">
        <v>0.15171699999999999</v>
      </c>
    </row>
    <row r="31" spans="2:24">
      <c r="O31" s="4">
        <v>3</v>
      </c>
      <c r="P31" s="4">
        <v>9481</v>
      </c>
      <c r="Q31" s="4">
        <v>14323</v>
      </c>
      <c r="R31" s="4" t="s">
        <v>15</v>
      </c>
      <c r="S31" s="4" t="s">
        <v>13</v>
      </c>
      <c r="T31" s="4" t="s">
        <v>12</v>
      </c>
      <c r="U31" s="4">
        <v>10363357</v>
      </c>
      <c r="V31" s="4">
        <v>13961.06</v>
      </c>
      <c r="W31" s="4">
        <v>0.134716</v>
      </c>
    </row>
    <row r="32" spans="2:24">
      <c r="W32" s="7" t="s">
        <v>49</v>
      </c>
      <c r="X32" s="7">
        <f>AVERAGE(X6:X29)</f>
        <v>1.3496428822222222</v>
      </c>
    </row>
    <row r="34" spans="27:28">
      <c r="AA34" s="6"/>
      <c r="AB34" s="6"/>
    </row>
    <row r="35" spans="27:28">
      <c r="AA35" s="6"/>
      <c r="AB35" s="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C415-57C4-974E-AF7F-87B5D41C8399}">
  <dimension ref="A1:M28"/>
  <sheetViews>
    <sheetView topLeftCell="A8" zoomScale="130" zoomScaleNormal="130" workbookViewId="0">
      <selection activeCell="M3" sqref="M3"/>
    </sheetView>
  </sheetViews>
  <sheetFormatPr baseColWidth="10" defaultRowHeight="16"/>
  <cols>
    <col min="1" max="1" width="25.33203125" customWidth="1"/>
    <col min="2" max="2" width="11.5" customWidth="1"/>
    <col min="3" max="3" width="11.83203125" customWidth="1"/>
    <col min="4" max="4" width="3.83203125" customWidth="1"/>
  </cols>
  <sheetData>
    <row r="1" spans="1:13">
      <c r="C1" s="118" t="s">
        <v>187</v>
      </c>
    </row>
    <row r="2" spans="1:13" ht="17">
      <c r="B2" s="119" t="s">
        <v>183</v>
      </c>
      <c r="C2" s="120"/>
      <c r="D2" s="112"/>
      <c r="E2" s="119" t="s">
        <v>186</v>
      </c>
      <c r="F2" s="120"/>
      <c r="G2" s="112"/>
    </row>
    <row r="3" spans="1:13" ht="17">
      <c r="B3" s="113" t="s">
        <v>175</v>
      </c>
      <c r="C3" s="113" t="s">
        <v>185</v>
      </c>
      <c r="D3" s="113"/>
      <c r="E3" s="113" t="s">
        <v>175</v>
      </c>
      <c r="F3" s="113" t="s">
        <v>185</v>
      </c>
      <c r="I3" s="119" t="s">
        <v>288</v>
      </c>
      <c r="J3" s="120"/>
      <c r="K3" s="112"/>
      <c r="M3" s="119" t="s">
        <v>186</v>
      </c>
    </row>
    <row r="4" spans="1:13">
      <c r="A4" s="114" t="s">
        <v>213</v>
      </c>
      <c r="B4" s="125">
        <v>0.249</v>
      </c>
      <c r="C4" s="125">
        <v>0.29499999999999998</v>
      </c>
      <c r="D4" s="125"/>
      <c r="E4" s="121">
        <v>3.07</v>
      </c>
      <c r="F4" s="121">
        <v>4.92</v>
      </c>
    </row>
    <row r="5" spans="1:13">
      <c r="A5" s="114" t="s">
        <v>213</v>
      </c>
      <c r="B5" s="125">
        <v>0.218</v>
      </c>
      <c r="C5" s="125">
        <v>0.32200000000000001</v>
      </c>
      <c r="D5" s="125"/>
      <c r="E5" s="121">
        <v>2.35</v>
      </c>
      <c r="F5" s="121">
        <v>5.12</v>
      </c>
    </row>
    <row r="6" spans="1:13">
      <c r="A6" s="114" t="s">
        <v>213</v>
      </c>
      <c r="B6" s="125">
        <v>0.23499999999999999</v>
      </c>
      <c r="C6" s="125">
        <v>0.27100000000000002</v>
      </c>
      <c r="D6" s="125"/>
      <c r="E6" s="121">
        <v>2.68</v>
      </c>
      <c r="F6" s="121">
        <v>4.43</v>
      </c>
    </row>
    <row r="7" spans="1:13">
      <c r="A7" s="114" t="s">
        <v>213</v>
      </c>
      <c r="B7" s="125">
        <v>0.26200000000000001</v>
      </c>
      <c r="C7" s="125">
        <v>0.30299999999999999</v>
      </c>
      <c r="D7" s="125"/>
      <c r="E7" s="121">
        <v>3.27</v>
      </c>
      <c r="F7" s="121">
        <v>5.07</v>
      </c>
    </row>
    <row r="8" spans="1:13">
      <c r="A8" s="114" t="s">
        <v>213</v>
      </c>
      <c r="B8" s="124">
        <v>0.2457287063511</v>
      </c>
      <c r="C8" s="124">
        <v>0.26417209267185898</v>
      </c>
      <c r="D8" s="124"/>
      <c r="E8" s="116">
        <v>2.577</v>
      </c>
      <c r="F8" s="116">
        <v>4.6840000000000002</v>
      </c>
    </row>
    <row r="9" spans="1:13">
      <c r="A9" s="114" t="s">
        <v>213</v>
      </c>
      <c r="B9" s="124">
        <v>0.16168912840129601</v>
      </c>
      <c r="C9" s="124">
        <v>0.15673967463962399</v>
      </c>
      <c r="D9" s="124"/>
      <c r="E9" s="116">
        <v>1.7629999999999999</v>
      </c>
      <c r="F9" s="116">
        <v>3.0070000000000001</v>
      </c>
    </row>
    <row r="10" spans="1:13">
      <c r="A10" s="114" t="s">
        <v>213</v>
      </c>
      <c r="B10" s="124">
        <v>0.22003689871894</v>
      </c>
      <c r="C10" s="124">
        <v>0.263819165759616</v>
      </c>
      <c r="D10" s="124"/>
      <c r="E10" s="116">
        <v>2.6779999999999999</v>
      </c>
      <c r="F10" s="116">
        <v>4.4080000000000004</v>
      </c>
    </row>
    <row r="11" spans="1:13">
      <c r="A11" s="168" t="s">
        <v>17</v>
      </c>
      <c r="B11" s="172">
        <f>AVERAGE(B4:B10)</f>
        <v>0.22735067621019087</v>
      </c>
      <c r="C11" s="172">
        <f>AVERAGE(C4:C10)</f>
        <v>0.26796156186729986</v>
      </c>
      <c r="D11" s="172"/>
      <c r="E11" s="175">
        <f>AVERAGE(E4:E10)</f>
        <v>2.6268571428571428</v>
      </c>
      <c r="F11" s="175">
        <f>AVERAGE(F4:F10)</f>
        <v>4.519857142857143</v>
      </c>
    </row>
    <row r="12" spans="1:13">
      <c r="A12" s="168" t="s">
        <v>31</v>
      </c>
      <c r="B12" s="172">
        <f>STDEV(B4:B10)</f>
        <v>3.295931419540292E-2</v>
      </c>
      <c r="C12" s="172">
        <f>STDEV(C4:C10)</f>
        <v>5.3681129375732529E-2</v>
      </c>
      <c r="D12" s="172"/>
      <c r="E12" s="173">
        <f>STDEV(E4:E11)</f>
        <v>0.4536885113226074</v>
      </c>
      <c r="F12" s="173">
        <f>STDEV(F4:F11)</f>
        <v>0.67180023148284806</v>
      </c>
    </row>
    <row r="13" spans="1:13">
      <c r="A13" s="170" t="s">
        <v>174</v>
      </c>
      <c r="B13" s="171">
        <f>B12/(SQRT(7))</f>
        <v>1.2457449820611005E-2</v>
      </c>
      <c r="C13" s="171">
        <f>C12/(SQRT(7))</f>
        <v>2.0289559775038893E-2</v>
      </c>
      <c r="D13" s="171"/>
      <c r="E13" s="174">
        <f>E12/(SQRT(7))</f>
        <v>0.17147813909239012</v>
      </c>
      <c r="F13" s="174">
        <f>F12/(SQRT(7))</f>
        <v>0.2539166204598915</v>
      </c>
    </row>
    <row r="15" spans="1:13" ht="17">
      <c r="C15" s="111"/>
      <c r="D15" s="110"/>
    </row>
    <row r="16" spans="1:13">
      <c r="B16" s="113" t="s">
        <v>175</v>
      </c>
      <c r="C16" s="113" t="s">
        <v>185</v>
      </c>
      <c r="D16" s="113"/>
      <c r="E16" s="113" t="s">
        <v>175</v>
      </c>
      <c r="F16" s="113" t="s">
        <v>185</v>
      </c>
    </row>
    <row r="17" spans="1:6">
      <c r="A17" s="117" t="s">
        <v>176</v>
      </c>
      <c r="B17" s="124">
        <v>0.189239908504237</v>
      </c>
      <c r="C17" s="124">
        <v>0.20826742076402899</v>
      </c>
      <c r="D17" s="115"/>
      <c r="E17" s="126">
        <v>2.0597645241335498</v>
      </c>
      <c r="F17" s="126">
        <v>3.8053204716204099</v>
      </c>
    </row>
    <row r="18" spans="1:6">
      <c r="A18" s="117" t="s">
        <v>177</v>
      </c>
      <c r="B18" s="124">
        <v>8.4238769146369893E-2</v>
      </c>
      <c r="C18" s="124">
        <v>0.24094630363966599</v>
      </c>
      <c r="D18" s="115"/>
      <c r="E18" s="126">
        <v>0.949587652661943</v>
      </c>
      <c r="F18" s="126">
        <v>4.1803014318771101</v>
      </c>
    </row>
    <row r="19" spans="1:6">
      <c r="A19" s="117" t="s">
        <v>178</v>
      </c>
      <c r="B19" s="124">
        <v>0.16909926974095901</v>
      </c>
      <c r="C19" s="124">
        <v>0.17556176298795101</v>
      </c>
      <c r="D19" s="115"/>
      <c r="E19" s="126">
        <v>2.0244870574060498</v>
      </c>
      <c r="F19" s="126">
        <v>3.2098816623792201</v>
      </c>
    </row>
    <row r="20" spans="1:6">
      <c r="A20" s="117" t="s">
        <v>179</v>
      </c>
      <c r="B20" s="124">
        <v>0.10992842901998499</v>
      </c>
      <c r="C20" s="124">
        <v>0.225336294086601</v>
      </c>
      <c r="D20" s="115"/>
      <c r="E20" s="126">
        <v>1.211561142651</v>
      </c>
      <c r="F20" s="126">
        <v>3.7028775220623502</v>
      </c>
    </row>
    <row r="21" spans="1:6">
      <c r="A21" s="117" t="s">
        <v>180</v>
      </c>
      <c r="B21" s="124">
        <v>0.190471592445799</v>
      </c>
      <c r="C21" s="124">
        <v>0.21814548607102399</v>
      </c>
      <c r="D21" s="115"/>
      <c r="E21" s="126">
        <v>2.3209455752461401</v>
      </c>
      <c r="F21" s="126">
        <v>3.9129453633874101</v>
      </c>
    </row>
    <row r="22" spans="1:6">
      <c r="A22" s="117" t="s">
        <v>181</v>
      </c>
      <c r="B22" s="124">
        <v>0.22261871708382799</v>
      </c>
      <c r="C22" s="124">
        <v>0.201525074114902</v>
      </c>
      <c r="D22" s="115"/>
      <c r="E22" s="126">
        <v>2.78182239295456</v>
      </c>
      <c r="F22" s="126">
        <v>3.66106285060286</v>
      </c>
    </row>
    <row r="23" spans="1:6">
      <c r="A23" s="117" t="s">
        <v>182</v>
      </c>
      <c r="B23" s="124">
        <v>0.16623344047675101</v>
      </c>
      <c r="C23" s="124">
        <v>0.209112494670632</v>
      </c>
      <c r="D23" s="115"/>
      <c r="E23" s="126">
        <v>1.93960842632112</v>
      </c>
      <c r="F23" s="126">
        <v>3.6564902009612901</v>
      </c>
    </row>
    <row r="24" spans="1:6">
      <c r="A24" s="168" t="s">
        <v>17</v>
      </c>
      <c r="B24" s="172">
        <f>AVERAGE(B17:B23)</f>
        <v>0.16169001805970412</v>
      </c>
      <c r="C24" s="172">
        <f>AVERAGE(C17:C23)</f>
        <v>0.21127069090497214</v>
      </c>
      <c r="D24" s="175"/>
      <c r="E24" s="172">
        <f>AVERAGE(E17:E23)</f>
        <v>1.8982538244820517</v>
      </c>
      <c r="F24" s="172">
        <f>AVERAGE(F17:F23)</f>
        <v>3.7326970718415216</v>
      </c>
    </row>
    <row r="25" spans="1:6">
      <c r="A25" s="168" t="s">
        <v>31</v>
      </c>
      <c r="B25" s="169">
        <f>STDEV(B17:B23)</f>
        <v>4.8396245736469175E-2</v>
      </c>
      <c r="C25" s="169">
        <f>STDEV(C17:C23)</f>
        <v>2.0451275488931612E-2</v>
      </c>
      <c r="D25" s="173"/>
      <c r="E25" s="172">
        <f>STDEV(E17:E23)</f>
        <v>0.6291007887562392</v>
      </c>
      <c r="F25" s="172">
        <f>STDEV(F17:F23)</f>
        <v>0.29531829570414836</v>
      </c>
    </row>
    <row r="26" spans="1:6">
      <c r="A26" s="170" t="s">
        <v>174</v>
      </c>
      <c r="B26" s="171">
        <f>B25/(SQRT(7))</f>
        <v>1.829206151540963E-2</v>
      </c>
      <c r="C26" s="171">
        <f>C25/(SQRT(7))</f>
        <v>7.7298555625405626E-3</v>
      </c>
      <c r="D26" s="174"/>
      <c r="E26" s="171">
        <f>E25/(SQRT(7))</f>
        <v>0.23777774809194113</v>
      </c>
      <c r="F26" s="171">
        <f>F25/(SQRT(7))</f>
        <v>0.11161982400580156</v>
      </c>
    </row>
    <row r="27" spans="1:6">
      <c r="E27" s="122"/>
      <c r="F27" s="122"/>
    </row>
    <row r="28" spans="1:6">
      <c r="A28" s="123" t="s">
        <v>184</v>
      </c>
      <c r="B28" s="122">
        <f>_xlfn.T.TEST(B17:B23,B4:B10,2,3)</f>
        <v>1.3327700753891338E-2</v>
      </c>
      <c r="C28" s="122">
        <f>_xlfn.T.TEST(C17:C23,C4:C10,2,3)</f>
        <v>3.2080093450138479E-2</v>
      </c>
      <c r="D28" s="122"/>
      <c r="E28" s="122">
        <f>_xlfn.T.TEST(E4:E10,E17:E23,2,3)</f>
        <v>3.3585696828555937E-2</v>
      </c>
      <c r="F28" s="122">
        <f>_xlfn.T.TEST(F4:F10,F17:F23,2,3)</f>
        <v>2.9086224941285946E-2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 1D</vt:lpstr>
      <vt:lpstr>FIG 2D</vt:lpstr>
      <vt:lpstr>FIG 3D</vt:lpstr>
      <vt:lpstr>Fig 4C (left)</vt:lpstr>
      <vt:lpstr>FIG 4C (right)</vt:lpstr>
      <vt:lpstr>FIG 5</vt:lpstr>
      <vt:lpstr>FIG 6 C PERILIPIN</vt:lpstr>
      <vt:lpstr>FIG 6C OIL RED O</vt:lpstr>
      <vt:lpstr>FIG 6D PULM FXN</vt:lpstr>
      <vt:lpstr>SUPP FIG 4F</vt:lpstr>
      <vt:lpstr>SUPP 9A</vt:lpstr>
      <vt:lpstr>SUPP 9B</vt:lpstr>
      <vt:lpstr>SUPP 9C,D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Melissa</dc:creator>
  <cp:lastModifiedBy>Spencer, Melissa</cp:lastModifiedBy>
  <dcterms:created xsi:type="dcterms:W3CDTF">2024-04-07T04:14:42Z</dcterms:created>
  <dcterms:modified xsi:type="dcterms:W3CDTF">2025-05-05T03:54:45Z</dcterms:modified>
</cp:coreProperties>
</file>