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gwoon/Library/Mobile Documents/com~apple~CloudDocs/Desktop/Manuscripts/Age Dependence 2020/"/>
    </mc:Choice>
  </mc:AlternateContent>
  <xr:revisionPtr revIDLastSave="0" documentId="13_ncr:1_{A0972D9E-57A5-374A-9A09-A6C6E772A623}" xr6:coauthVersionLast="47" xr6:coauthVersionMax="47" xr10:uidLastSave="{00000000-0000-0000-0000-000000000000}"/>
  <bookViews>
    <workbookView xWindow="7340" yWindow="1120" windowWidth="41260" windowHeight="22300" activeTab="1" xr2:uid="{39CDB31C-6931-6F4C-8C81-1EB48C4B184B}"/>
  </bookViews>
  <sheets>
    <sheet name="Figure 2" sheetId="15" r:id="rId1"/>
    <sheet name="Figure 3" sheetId="16" r:id="rId2"/>
    <sheet name="Figure 4" sheetId="17" r:id="rId3"/>
    <sheet name="Definitions Panel 1 Leuko" sheetId="8" r:id="rId4"/>
    <sheet name="Definitions Panel 2 T cells" sheetId="9" r:id="rId5"/>
    <sheet name="CBC ranges" sheetId="14" r:id="rId6"/>
    <sheet name="38248-Leuk" sheetId="3" r:id="rId7"/>
    <sheet name="38275-Leuk" sheetId="4" r:id="rId8"/>
    <sheet name="38276-Leuk" sheetId="5" r:id="rId9"/>
    <sheet name="38317-Leuk" sheetId="6" r:id="rId10"/>
    <sheet name="38221-Leuk" sheetId="1" r:id="rId11"/>
    <sheet name="38242-Leuk" sheetId="2" r:id="rId12"/>
    <sheet name="38362-Leuk" sheetId="7" r:id="rId13"/>
    <sheet name="38371-Leuk" sheetId="10" r:id="rId14"/>
    <sheet name="38395-Leuk" sheetId="11" r:id="rId15"/>
    <sheet name="38423-Leuk" sheetId="13" r:id="rId16"/>
    <sheet name="Figure 6" sheetId="18" r:id="rId17"/>
    <sheet name="Figure 7" sheetId="19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18" i="13" l="1"/>
  <c r="AE18" i="13"/>
  <c r="AD18" i="13"/>
  <c r="AC18" i="13"/>
  <c r="AB18" i="13"/>
  <c r="AA18" i="13"/>
  <c r="Z18" i="13"/>
  <c r="Y18" i="13"/>
  <c r="X18" i="13"/>
  <c r="AF18" i="10"/>
  <c r="AE18" i="10"/>
  <c r="AD18" i="10"/>
  <c r="AC18" i="10"/>
  <c r="AB18" i="10"/>
  <c r="AA18" i="10"/>
  <c r="Z18" i="10"/>
  <c r="Y18" i="10"/>
  <c r="X18" i="10"/>
  <c r="AF18" i="11"/>
  <c r="AE18" i="11"/>
  <c r="AD18" i="11"/>
  <c r="AC18" i="11"/>
  <c r="AB18" i="11"/>
  <c r="AA18" i="11"/>
  <c r="Z18" i="11"/>
  <c r="Y18" i="11"/>
  <c r="X18" i="11"/>
  <c r="AF18" i="7"/>
  <c r="AE18" i="7"/>
  <c r="AD18" i="7"/>
  <c r="AC18" i="7"/>
  <c r="AB18" i="7"/>
  <c r="AA18" i="7"/>
  <c r="Z18" i="7"/>
  <c r="Y18" i="7"/>
  <c r="X18" i="7"/>
  <c r="AF17" i="13"/>
  <c r="AE17" i="13"/>
  <c r="AD17" i="13"/>
  <c r="AC17" i="13"/>
  <c r="AB17" i="13"/>
  <c r="AA17" i="13"/>
  <c r="Z17" i="13"/>
  <c r="Y17" i="13"/>
  <c r="X17" i="13"/>
  <c r="AF17" i="11"/>
  <c r="AE17" i="11"/>
  <c r="AD17" i="11"/>
  <c r="AC17" i="11"/>
  <c r="AB17" i="11"/>
  <c r="AA17" i="11"/>
  <c r="Z17" i="11"/>
  <c r="Y17" i="11"/>
  <c r="X17" i="11"/>
  <c r="AF17" i="10"/>
  <c r="AE17" i="10"/>
  <c r="AD17" i="10"/>
  <c r="AC17" i="10"/>
  <c r="AB17" i="10"/>
  <c r="AA17" i="10"/>
  <c r="Z17" i="10"/>
  <c r="Y17" i="10"/>
  <c r="X17" i="10"/>
  <c r="AF17" i="7"/>
  <c r="AE17" i="7"/>
  <c r="AD17" i="7"/>
  <c r="AC17" i="7"/>
  <c r="AB17" i="7"/>
  <c r="AA17" i="7"/>
  <c r="Z17" i="7"/>
  <c r="Y17" i="7"/>
  <c r="X17" i="7"/>
  <c r="AF16" i="13"/>
  <c r="AE16" i="13"/>
  <c r="AD16" i="13"/>
  <c r="AC16" i="13"/>
  <c r="AB16" i="13"/>
  <c r="AA16" i="13"/>
  <c r="Z16" i="13"/>
  <c r="Y16" i="13"/>
  <c r="X16" i="13"/>
  <c r="AF16" i="11"/>
  <c r="AE16" i="11"/>
  <c r="AD16" i="11"/>
  <c r="AC16" i="11"/>
  <c r="AB16" i="11"/>
  <c r="AA16" i="11"/>
  <c r="Z16" i="11"/>
  <c r="Y16" i="11"/>
  <c r="X16" i="11"/>
  <c r="AF16" i="10"/>
  <c r="AE16" i="10"/>
  <c r="AD16" i="10"/>
  <c r="AC16" i="10"/>
  <c r="AB16" i="10"/>
  <c r="AA16" i="10"/>
  <c r="Z16" i="10"/>
  <c r="Y16" i="10"/>
  <c r="X16" i="10"/>
  <c r="AF16" i="7"/>
  <c r="AE16" i="7"/>
  <c r="AD16" i="7"/>
  <c r="AC16" i="7"/>
  <c r="AB16" i="7"/>
  <c r="AA16" i="7"/>
  <c r="Z16" i="7"/>
  <c r="Y16" i="7"/>
  <c r="X16" i="7"/>
  <c r="AF15" i="13"/>
  <c r="AE15" i="13"/>
  <c r="AD15" i="13"/>
  <c r="AC15" i="13"/>
  <c r="AB15" i="13"/>
  <c r="AA15" i="13"/>
  <c r="Z15" i="13"/>
  <c r="Y15" i="13"/>
  <c r="X15" i="13"/>
  <c r="AF15" i="11"/>
  <c r="AE15" i="11"/>
  <c r="AD15" i="11"/>
  <c r="AC15" i="11"/>
  <c r="AB15" i="11"/>
  <c r="AA15" i="11"/>
  <c r="Z15" i="11"/>
  <c r="Y15" i="11"/>
  <c r="X15" i="11"/>
  <c r="AF15" i="10"/>
  <c r="AE15" i="10"/>
  <c r="AD15" i="10"/>
  <c r="AC15" i="10"/>
  <c r="AB15" i="10"/>
  <c r="AA15" i="10"/>
  <c r="Z15" i="10"/>
  <c r="Y15" i="10"/>
  <c r="X15" i="10"/>
  <c r="AF15" i="7"/>
  <c r="AE15" i="7"/>
  <c r="AD15" i="7"/>
  <c r="AC15" i="7"/>
  <c r="AB15" i="7"/>
  <c r="AA15" i="7"/>
  <c r="Z15" i="7"/>
  <c r="Y15" i="7"/>
  <c r="X15" i="7"/>
  <c r="AF18" i="2"/>
  <c r="AE18" i="2"/>
  <c r="AD18" i="2"/>
  <c r="AC18" i="2"/>
  <c r="AB18" i="2"/>
  <c r="AA18" i="2"/>
  <c r="Z18" i="2"/>
  <c r="Y18" i="2"/>
  <c r="X18" i="2"/>
  <c r="AF14" i="13"/>
  <c r="AE14" i="13"/>
  <c r="AD14" i="13"/>
  <c r="AC14" i="13"/>
  <c r="AB14" i="13"/>
  <c r="AA14" i="13"/>
  <c r="Z14" i="13"/>
  <c r="Y14" i="13"/>
  <c r="X14" i="13"/>
  <c r="AF14" i="11"/>
  <c r="AE14" i="11"/>
  <c r="AD14" i="11"/>
  <c r="AC14" i="11"/>
  <c r="AB14" i="11"/>
  <c r="AA14" i="11"/>
  <c r="Z14" i="11"/>
  <c r="Y14" i="11"/>
  <c r="X14" i="11"/>
  <c r="AF14" i="10"/>
  <c r="AE14" i="10"/>
  <c r="AD14" i="10"/>
  <c r="AC14" i="10"/>
  <c r="AB14" i="10"/>
  <c r="AA14" i="10"/>
  <c r="Z14" i="10"/>
  <c r="Y14" i="10"/>
  <c r="X14" i="10"/>
  <c r="AF13" i="13"/>
  <c r="AE13" i="13"/>
  <c r="AD13" i="13"/>
  <c r="AC13" i="13"/>
  <c r="AB13" i="13"/>
  <c r="AA13" i="13"/>
  <c r="Z13" i="13"/>
  <c r="Y13" i="13"/>
  <c r="X13" i="13"/>
  <c r="AF17" i="2"/>
  <c r="AE17" i="2"/>
  <c r="AD17" i="2"/>
  <c r="AC17" i="2"/>
  <c r="AB17" i="2"/>
  <c r="AA17" i="2"/>
  <c r="Z17" i="2"/>
  <c r="Y17" i="2"/>
  <c r="X17" i="2"/>
  <c r="AF13" i="11"/>
  <c r="AE13" i="11"/>
  <c r="AD13" i="11"/>
  <c r="AC13" i="11"/>
  <c r="AB13" i="11"/>
  <c r="AA13" i="11"/>
  <c r="Z13" i="11"/>
  <c r="Y13" i="11"/>
  <c r="X13" i="11"/>
  <c r="AF13" i="10"/>
  <c r="AE13" i="10"/>
  <c r="AD13" i="10"/>
  <c r="AC13" i="10"/>
  <c r="AB13" i="10"/>
  <c r="AA13" i="10"/>
  <c r="Z13" i="10"/>
  <c r="Y13" i="10"/>
  <c r="X13" i="10"/>
  <c r="AF12" i="13"/>
  <c r="AE12" i="13"/>
  <c r="AD12" i="13"/>
  <c r="AC12" i="13"/>
  <c r="AB12" i="13"/>
  <c r="AA12" i="13"/>
  <c r="Z12" i="13"/>
  <c r="Y12" i="13"/>
  <c r="X12" i="13"/>
  <c r="AF14" i="7"/>
  <c r="AE14" i="7"/>
  <c r="AD14" i="7"/>
  <c r="AC14" i="7"/>
  <c r="AB14" i="7"/>
  <c r="AA14" i="7"/>
  <c r="Z14" i="7"/>
  <c r="Y14" i="7"/>
  <c r="X14" i="7"/>
  <c r="AF18" i="1"/>
  <c r="AE18" i="1"/>
  <c r="AD18" i="1"/>
  <c r="AC18" i="1"/>
  <c r="AB18" i="1"/>
  <c r="AA18" i="1"/>
  <c r="Z18" i="1"/>
  <c r="Y18" i="1"/>
  <c r="X18" i="1"/>
  <c r="AF12" i="11"/>
  <c r="AE12" i="11"/>
  <c r="AD12" i="11"/>
  <c r="AC12" i="11"/>
  <c r="AB12" i="11"/>
  <c r="AA12" i="11"/>
  <c r="Z12" i="11"/>
  <c r="Y12" i="11"/>
  <c r="X12" i="11"/>
  <c r="AF12" i="10"/>
  <c r="AE12" i="10"/>
  <c r="AD12" i="10"/>
  <c r="AC12" i="10"/>
  <c r="AB12" i="10"/>
  <c r="AA12" i="10"/>
  <c r="Z12" i="10"/>
  <c r="Y12" i="10"/>
  <c r="X12" i="10"/>
  <c r="AF13" i="7"/>
  <c r="AE13" i="7"/>
  <c r="AD13" i="7"/>
  <c r="AC13" i="7"/>
  <c r="AB13" i="7"/>
  <c r="AA13" i="7"/>
  <c r="Z13" i="7"/>
  <c r="Y13" i="7"/>
  <c r="X13" i="7"/>
  <c r="AF12" i="7"/>
  <c r="AE12" i="7"/>
  <c r="AD12" i="7"/>
  <c r="AC12" i="7"/>
  <c r="AB12" i="7"/>
  <c r="AA12" i="7"/>
  <c r="Z12" i="7"/>
  <c r="Y12" i="7"/>
  <c r="X12" i="7"/>
  <c r="AF16" i="2"/>
  <c r="AE16" i="2"/>
  <c r="AD16" i="2"/>
  <c r="AC16" i="2"/>
  <c r="AB16" i="2"/>
  <c r="AA16" i="2"/>
  <c r="Z16" i="2"/>
  <c r="Y16" i="2"/>
  <c r="X16" i="2"/>
  <c r="AF11" i="13"/>
  <c r="AE11" i="13"/>
  <c r="AD11" i="13"/>
  <c r="AC11" i="13"/>
  <c r="AB11" i="13"/>
  <c r="AA11" i="13"/>
  <c r="Z11" i="13"/>
  <c r="Y11" i="13"/>
  <c r="X11" i="13"/>
  <c r="AF11" i="11"/>
  <c r="AE11" i="11"/>
  <c r="AD11" i="11"/>
  <c r="AC11" i="11"/>
  <c r="AB11" i="11"/>
  <c r="AA11" i="11"/>
  <c r="Z11" i="11"/>
  <c r="Y11" i="11"/>
  <c r="X11" i="11"/>
  <c r="AF11" i="10"/>
  <c r="AE11" i="10"/>
  <c r="AD11" i="10"/>
  <c r="AC11" i="10"/>
  <c r="AB11" i="10"/>
  <c r="AA11" i="10"/>
  <c r="Z11" i="10"/>
  <c r="Y11" i="10"/>
  <c r="X11" i="10"/>
  <c r="AF16" i="1"/>
  <c r="AE16" i="1"/>
  <c r="AD16" i="1"/>
  <c r="AC16" i="1"/>
  <c r="AB16" i="1"/>
  <c r="AA16" i="1"/>
  <c r="Z16" i="1"/>
  <c r="Y16" i="1"/>
  <c r="X16" i="1"/>
  <c r="AF11" i="7"/>
  <c r="AE11" i="7"/>
  <c r="AD11" i="7"/>
  <c r="AC11" i="7"/>
  <c r="AB11" i="7"/>
  <c r="AA11" i="7"/>
  <c r="Z11" i="7"/>
  <c r="Y11" i="7"/>
  <c r="X11" i="7"/>
  <c r="AF15" i="2"/>
  <c r="AE15" i="2"/>
  <c r="AD15" i="2"/>
  <c r="AC15" i="2"/>
  <c r="AB15" i="2"/>
  <c r="AA15" i="2"/>
  <c r="Z15" i="2"/>
  <c r="Y15" i="2"/>
  <c r="X15" i="2"/>
  <c r="AF10" i="13"/>
  <c r="AE10" i="13"/>
  <c r="AD10" i="13"/>
  <c r="AC10" i="13"/>
  <c r="AB10" i="13"/>
  <c r="AA10" i="13"/>
  <c r="Z10" i="13"/>
  <c r="Y10" i="13"/>
  <c r="X10" i="13"/>
  <c r="AF10" i="11"/>
  <c r="AE10" i="11"/>
  <c r="AD10" i="11"/>
  <c r="AC10" i="11"/>
  <c r="AB10" i="11"/>
  <c r="AA10" i="11"/>
  <c r="Z10" i="11"/>
  <c r="Y10" i="11"/>
  <c r="X10" i="11"/>
  <c r="AF10" i="10"/>
  <c r="AE10" i="10"/>
  <c r="AD10" i="10"/>
  <c r="AC10" i="10"/>
  <c r="AB10" i="10"/>
  <c r="AA10" i="10"/>
  <c r="Z10" i="10"/>
  <c r="Y10" i="10"/>
  <c r="X10" i="10"/>
  <c r="AF15" i="1"/>
  <c r="AE15" i="1"/>
  <c r="AD15" i="1"/>
  <c r="AC15" i="1"/>
  <c r="AB15" i="1"/>
  <c r="AA15" i="1"/>
  <c r="Z15" i="1"/>
  <c r="Y15" i="1"/>
  <c r="X15" i="1"/>
  <c r="AF10" i="7"/>
  <c r="AE10" i="7"/>
  <c r="AD10" i="7"/>
  <c r="AC10" i="7"/>
  <c r="AB10" i="7"/>
  <c r="AA10" i="7"/>
  <c r="Z10" i="7"/>
  <c r="Y10" i="7"/>
  <c r="X10" i="7"/>
  <c r="AF9" i="13"/>
  <c r="AE9" i="13"/>
  <c r="AD9" i="13"/>
  <c r="AC9" i="13"/>
  <c r="AB9" i="13"/>
  <c r="AA9" i="13"/>
  <c r="Z9" i="13"/>
  <c r="Y9" i="13"/>
  <c r="X9" i="13"/>
  <c r="AF14" i="2"/>
  <c r="AE14" i="2"/>
  <c r="AD14" i="2"/>
  <c r="AC14" i="2"/>
  <c r="AB14" i="2"/>
  <c r="Z14" i="2"/>
  <c r="Y14" i="2"/>
  <c r="X14" i="2"/>
  <c r="AF9" i="11"/>
  <c r="AE9" i="11"/>
  <c r="AD9" i="11"/>
  <c r="AC9" i="11"/>
  <c r="AB9" i="11"/>
  <c r="AA9" i="11"/>
  <c r="Z9" i="11"/>
  <c r="Y9" i="11"/>
  <c r="X9" i="11"/>
  <c r="AF9" i="10"/>
  <c r="AE9" i="10"/>
  <c r="AD9" i="10"/>
  <c r="AC9" i="10"/>
  <c r="AB9" i="10"/>
  <c r="AA9" i="10"/>
  <c r="Z9" i="10"/>
  <c r="Y9" i="10"/>
  <c r="X9" i="10"/>
  <c r="AF13" i="2"/>
  <c r="AE13" i="2"/>
  <c r="AD13" i="2"/>
  <c r="AC13" i="2"/>
  <c r="AB13" i="2"/>
  <c r="AA13" i="2"/>
  <c r="Z13" i="2"/>
  <c r="Y13" i="2"/>
  <c r="X13" i="2"/>
  <c r="AF14" i="1"/>
  <c r="AE14" i="1"/>
  <c r="AC14" i="1"/>
  <c r="AB14" i="1"/>
  <c r="AA14" i="1"/>
  <c r="Z14" i="1"/>
  <c r="Y14" i="1"/>
  <c r="X14" i="1"/>
  <c r="AF9" i="7"/>
  <c r="AE9" i="7"/>
  <c r="AD9" i="7"/>
  <c r="AC9" i="7"/>
  <c r="AB9" i="7"/>
  <c r="AA9" i="7"/>
  <c r="Z9" i="7"/>
  <c r="Y9" i="7"/>
  <c r="X9" i="7"/>
  <c r="AF12" i="2"/>
  <c r="AE12" i="2"/>
  <c r="AD12" i="2"/>
  <c r="AC12" i="2"/>
  <c r="AB12" i="2"/>
  <c r="AA12" i="2"/>
  <c r="Z12" i="2"/>
  <c r="Y12" i="2"/>
  <c r="X12" i="2"/>
  <c r="AF13" i="1"/>
  <c r="AE13" i="1"/>
  <c r="AD13" i="1"/>
  <c r="AC13" i="1"/>
  <c r="AB13" i="1"/>
  <c r="AA13" i="1"/>
  <c r="Z13" i="1"/>
  <c r="Y13" i="1"/>
  <c r="X13" i="1"/>
  <c r="AF8" i="13"/>
  <c r="AE8" i="13"/>
  <c r="AD8" i="13"/>
  <c r="AC8" i="13"/>
  <c r="AB8" i="13"/>
  <c r="AA8" i="13"/>
  <c r="Z8" i="13"/>
  <c r="Y8" i="13"/>
  <c r="X8" i="13"/>
  <c r="AF8" i="11"/>
  <c r="AE8" i="11"/>
  <c r="AD8" i="11"/>
  <c r="AC8" i="11"/>
  <c r="AB8" i="11"/>
  <c r="AA8" i="11"/>
  <c r="Z8" i="11"/>
  <c r="Y8" i="11"/>
  <c r="X8" i="11"/>
  <c r="AF8" i="10"/>
  <c r="AE8" i="10"/>
  <c r="AD8" i="10"/>
  <c r="AC8" i="10"/>
  <c r="AB8" i="10"/>
  <c r="AA8" i="10"/>
  <c r="Z8" i="10"/>
  <c r="Y8" i="10"/>
  <c r="X8" i="10"/>
  <c r="AF12" i="1"/>
  <c r="AE12" i="1"/>
  <c r="AD12" i="1"/>
  <c r="AC12" i="1"/>
  <c r="AB12" i="1"/>
  <c r="AA12" i="1"/>
  <c r="Z12" i="1"/>
  <c r="Y12" i="1"/>
  <c r="X12" i="1"/>
  <c r="AF8" i="7"/>
  <c r="AE8" i="7"/>
  <c r="AD8" i="7"/>
  <c r="AC8" i="7"/>
  <c r="AB8" i="7"/>
  <c r="AA8" i="7"/>
  <c r="Z8" i="7"/>
  <c r="Y8" i="7"/>
  <c r="X8" i="7"/>
  <c r="AF11" i="2"/>
  <c r="AE11" i="2"/>
  <c r="AD11" i="2"/>
  <c r="AC11" i="2"/>
  <c r="AB11" i="2"/>
  <c r="AA11" i="2"/>
  <c r="Z11" i="2"/>
  <c r="Y11" i="2"/>
  <c r="X11" i="2"/>
  <c r="AF7" i="13"/>
  <c r="AE7" i="13"/>
  <c r="AD7" i="13"/>
  <c r="AC7" i="13"/>
  <c r="AB7" i="13"/>
  <c r="AA7" i="13"/>
  <c r="Z7" i="13"/>
  <c r="Y7" i="13"/>
  <c r="X7" i="13"/>
  <c r="AF7" i="11"/>
  <c r="AE7" i="11"/>
  <c r="AD7" i="11"/>
  <c r="AC7" i="11"/>
  <c r="AB7" i="11"/>
  <c r="AA7" i="11"/>
  <c r="Z7" i="11"/>
  <c r="Y7" i="11"/>
  <c r="X7" i="11"/>
  <c r="AF7" i="10"/>
  <c r="AE7" i="10"/>
  <c r="AD7" i="10"/>
  <c r="AC7" i="10"/>
  <c r="AB7" i="10"/>
  <c r="AA7" i="10"/>
  <c r="Z7" i="10"/>
  <c r="Y7" i="10"/>
  <c r="X7" i="10"/>
  <c r="AF11" i="1"/>
  <c r="AE11" i="1"/>
  <c r="AD11" i="1"/>
  <c r="AC11" i="1"/>
  <c r="AB11" i="1"/>
  <c r="AA11" i="1"/>
  <c r="Z11" i="1"/>
  <c r="Y11" i="1"/>
  <c r="X11" i="1"/>
  <c r="AF8" i="6"/>
  <c r="AE8" i="6"/>
  <c r="AD8" i="6"/>
  <c r="AC8" i="6"/>
  <c r="AB8" i="6"/>
  <c r="AA8" i="6"/>
  <c r="Z8" i="6"/>
  <c r="Y8" i="6"/>
  <c r="X8" i="6"/>
  <c r="AF7" i="7"/>
  <c r="AE7" i="7"/>
  <c r="AD7" i="7"/>
  <c r="AC7" i="7"/>
  <c r="AB7" i="7"/>
  <c r="AA7" i="7"/>
  <c r="Z7" i="7"/>
  <c r="Y7" i="7"/>
  <c r="X7" i="7"/>
  <c r="AF10" i="2"/>
  <c r="AE10" i="2"/>
  <c r="AD10" i="2"/>
  <c r="AC10" i="2"/>
  <c r="AB10" i="2"/>
  <c r="AA10" i="2"/>
  <c r="Z10" i="2"/>
  <c r="Y10" i="2"/>
  <c r="X10" i="2"/>
  <c r="AF10" i="1"/>
  <c r="AE10" i="1"/>
  <c r="AD10" i="1"/>
  <c r="AC10" i="1"/>
  <c r="AB10" i="1"/>
  <c r="AA10" i="1"/>
  <c r="Z10" i="1"/>
  <c r="Y10" i="1"/>
  <c r="X10" i="1"/>
  <c r="AF6" i="13"/>
  <c r="AE6" i="13"/>
  <c r="AD6" i="13"/>
  <c r="AC6" i="13"/>
  <c r="AB6" i="13"/>
  <c r="AA6" i="13"/>
  <c r="Z6" i="13"/>
  <c r="Y6" i="13"/>
  <c r="X6" i="13"/>
  <c r="AF6" i="11"/>
  <c r="AE6" i="11"/>
  <c r="AD6" i="11"/>
  <c r="AC6" i="11"/>
  <c r="AB6" i="11"/>
  <c r="AA6" i="11"/>
  <c r="Z6" i="11"/>
  <c r="Y6" i="11"/>
  <c r="X6" i="11"/>
  <c r="AF6" i="10"/>
  <c r="AE6" i="10"/>
  <c r="AD6" i="10"/>
  <c r="AC6" i="10"/>
  <c r="AB6" i="10"/>
  <c r="AA6" i="10"/>
  <c r="Z6" i="10"/>
  <c r="Y6" i="10"/>
  <c r="X6" i="10"/>
  <c r="AF7" i="6"/>
  <c r="AE7" i="6"/>
  <c r="AD7" i="6"/>
  <c r="AC7" i="6"/>
  <c r="AB7" i="6"/>
  <c r="AA7" i="6"/>
  <c r="Z7" i="6"/>
  <c r="Y7" i="6"/>
  <c r="X7" i="6"/>
  <c r="AF8" i="5"/>
  <c r="AE8" i="5"/>
  <c r="AD8" i="5"/>
  <c r="AC8" i="5"/>
  <c r="AB8" i="5"/>
  <c r="AA8" i="5"/>
  <c r="Z8" i="5"/>
  <c r="Y8" i="5"/>
  <c r="X8" i="5"/>
  <c r="AF8" i="4"/>
  <c r="AE8" i="4"/>
  <c r="AD8" i="4"/>
  <c r="AC8" i="4"/>
  <c r="AB8" i="4"/>
  <c r="AA8" i="4"/>
  <c r="Z8" i="4"/>
  <c r="Y8" i="4"/>
  <c r="X8" i="4"/>
  <c r="AF5" i="13"/>
  <c r="AE5" i="13"/>
  <c r="AD5" i="13"/>
  <c r="AC5" i="13"/>
  <c r="AB5" i="13"/>
  <c r="AA5" i="13"/>
  <c r="Z5" i="13"/>
  <c r="Y5" i="13"/>
  <c r="X5" i="13"/>
  <c r="AF9" i="2"/>
  <c r="AE9" i="2"/>
  <c r="AD9" i="2"/>
  <c r="AC9" i="2"/>
  <c r="AB9" i="2"/>
  <c r="AA9" i="2"/>
  <c r="Z9" i="2"/>
  <c r="Y9" i="2"/>
  <c r="X9" i="2"/>
  <c r="AF5" i="11"/>
  <c r="AE5" i="11"/>
  <c r="AD5" i="11"/>
  <c r="AC5" i="11"/>
  <c r="AB5" i="11"/>
  <c r="AA5" i="11"/>
  <c r="Z5" i="11"/>
  <c r="Y5" i="11"/>
  <c r="X5" i="11"/>
  <c r="AF5" i="10"/>
  <c r="AE5" i="10"/>
  <c r="AD5" i="10"/>
  <c r="AC5" i="10"/>
  <c r="AB5" i="10"/>
  <c r="AA5" i="10"/>
  <c r="Z5" i="10"/>
  <c r="Y5" i="10"/>
  <c r="X5" i="10"/>
  <c r="AF4" i="13"/>
  <c r="AE4" i="13"/>
  <c r="AD4" i="13"/>
  <c r="AC4" i="13"/>
  <c r="AB4" i="13"/>
  <c r="AA4" i="13"/>
  <c r="Z4" i="13"/>
  <c r="Y4" i="13"/>
  <c r="X4" i="13"/>
  <c r="AF6" i="7"/>
  <c r="AE6" i="7"/>
  <c r="AD6" i="7"/>
  <c r="AC6" i="7"/>
  <c r="AB6" i="7"/>
  <c r="AA6" i="7"/>
  <c r="Z6" i="7"/>
  <c r="Y6" i="7"/>
  <c r="X6" i="7"/>
  <c r="AF4" i="11"/>
  <c r="AE4" i="11"/>
  <c r="AD4" i="11"/>
  <c r="AC4" i="11"/>
  <c r="AB4" i="11"/>
  <c r="AA4" i="11"/>
  <c r="Z4" i="11"/>
  <c r="Y4" i="11"/>
  <c r="X4" i="11"/>
  <c r="AF4" i="10"/>
  <c r="AE4" i="10"/>
  <c r="AD4" i="10"/>
  <c r="AC4" i="10"/>
  <c r="AB4" i="10"/>
  <c r="AA4" i="10"/>
  <c r="Z4" i="10"/>
  <c r="Y4" i="10"/>
  <c r="X4" i="10"/>
  <c r="AF9" i="1"/>
  <c r="AE9" i="1"/>
  <c r="AD9" i="1"/>
  <c r="AC9" i="1"/>
  <c r="AB9" i="1"/>
  <c r="AA9" i="1"/>
  <c r="Z9" i="1"/>
  <c r="Y9" i="1"/>
  <c r="X9" i="1"/>
  <c r="AF5" i="7"/>
  <c r="AE5" i="7"/>
  <c r="AD5" i="7"/>
  <c r="AC5" i="7"/>
  <c r="AB5" i="7"/>
  <c r="AA5" i="7"/>
  <c r="Z5" i="7"/>
  <c r="Y5" i="7"/>
  <c r="X5" i="7"/>
  <c r="AF8" i="3"/>
  <c r="AE8" i="3"/>
  <c r="AD8" i="3"/>
  <c r="AC8" i="3"/>
  <c r="AB8" i="3"/>
  <c r="AA8" i="3"/>
  <c r="Z8" i="3"/>
  <c r="Y8" i="3"/>
  <c r="X8" i="3"/>
  <c r="AF7" i="5"/>
  <c r="AE7" i="5"/>
  <c r="AD7" i="5"/>
  <c r="AC7" i="5"/>
  <c r="AB7" i="5"/>
  <c r="AA7" i="5"/>
  <c r="Z7" i="5"/>
  <c r="Y7" i="5"/>
  <c r="X7" i="5"/>
  <c r="AF7" i="4"/>
  <c r="AE7" i="4"/>
  <c r="AD7" i="4"/>
  <c r="AC7" i="4"/>
  <c r="AB7" i="4"/>
  <c r="AA7" i="4"/>
  <c r="Z7" i="4"/>
  <c r="Y7" i="4"/>
  <c r="X7" i="4"/>
  <c r="AF4" i="7"/>
  <c r="AE4" i="7"/>
  <c r="AD4" i="7"/>
  <c r="AC4" i="7"/>
  <c r="AB4" i="7"/>
  <c r="AA4" i="7"/>
  <c r="Z4" i="7"/>
  <c r="Y4" i="7"/>
  <c r="X4" i="7"/>
  <c r="AF8" i="2"/>
  <c r="AE8" i="2"/>
  <c r="AD8" i="2"/>
  <c r="AC8" i="2"/>
  <c r="AB8" i="2"/>
  <c r="AA8" i="2"/>
  <c r="Z8" i="2"/>
  <c r="Y8" i="2"/>
  <c r="X8" i="2"/>
  <c r="AF6" i="6"/>
  <c r="AE6" i="6"/>
  <c r="AD6" i="6"/>
  <c r="AC6" i="6"/>
  <c r="AB6" i="6"/>
  <c r="AA6" i="6"/>
  <c r="Z6" i="6"/>
  <c r="Y6" i="6"/>
  <c r="X6" i="6"/>
  <c r="AF5" i="6"/>
  <c r="AE5" i="6"/>
  <c r="AD5" i="6"/>
  <c r="AC5" i="6"/>
  <c r="AB5" i="6"/>
  <c r="AA5" i="6"/>
  <c r="Z5" i="6"/>
  <c r="Y5" i="6"/>
  <c r="X5" i="6"/>
  <c r="AF7" i="3"/>
  <c r="AE7" i="3"/>
  <c r="AD7" i="3"/>
  <c r="AC7" i="3"/>
  <c r="AB7" i="3"/>
  <c r="AA7" i="3"/>
  <c r="Z7" i="3"/>
  <c r="Y7" i="3"/>
  <c r="X7" i="3"/>
  <c r="AF8" i="1"/>
  <c r="AE8" i="1"/>
  <c r="AD8" i="1"/>
  <c r="AC8" i="1"/>
  <c r="AB8" i="1"/>
  <c r="AA8" i="1"/>
  <c r="Z8" i="1"/>
  <c r="Y8" i="1"/>
  <c r="X8" i="1"/>
  <c r="AF4" i="6"/>
  <c r="AE4" i="6"/>
  <c r="AD4" i="6"/>
  <c r="AC4" i="6"/>
  <c r="AB4" i="6"/>
  <c r="AA4" i="6"/>
  <c r="Z4" i="6"/>
  <c r="Y4" i="6"/>
  <c r="X4" i="6"/>
  <c r="AF7" i="2"/>
  <c r="AE7" i="2"/>
  <c r="AD7" i="2"/>
  <c r="AC7" i="2"/>
  <c r="AB7" i="2"/>
  <c r="AA7" i="2"/>
  <c r="Z7" i="2"/>
  <c r="Y7" i="2"/>
  <c r="X7" i="2"/>
  <c r="AF6" i="5"/>
  <c r="AE6" i="5"/>
  <c r="AD6" i="5"/>
  <c r="AC6" i="5"/>
  <c r="AB6" i="5"/>
  <c r="AA6" i="5"/>
  <c r="Z6" i="5"/>
  <c r="Y6" i="5"/>
  <c r="X6" i="5"/>
  <c r="AF6" i="4"/>
  <c r="AE6" i="4"/>
  <c r="AD6" i="4"/>
  <c r="AC6" i="4"/>
  <c r="AB6" i="4"/>
  <c r="AA6" i="4"/>
  <c r="Z6" i="4"/>
  <c r="Y6" i="4"/>
  <c r="X6" i="4"/>
  <c r="AF5" i="5"/>
  <c r="AE5" i="5"/>
  <c r="AD5" i="5"/>
  <c r="AC5" i="5"/>
  <c r="AB5" i="5"/>
  <c r="AA5" i="5"/>
  <c r="Z5" i="5"/>
  <c r="Y5" i="5"/>
  <c r="X5" i="5"/>
  <c r="AF5" i="4"/>
  <c r="AE5" i="4"/>
  <c r="AD5" i="4"/>
  <c r="AC5" i="4"/>
  <c r="AB5" i="4"/>
  <c r="AA5" i="4"/>
  <c r="Z5" i="4"/>
  <c r="Y5" i="4"/>
  <c r="X5" i="4"/>
  <c r="AF7" i="1"/>
  <c r="AE7" i="1"/>
  <c r="AD7" i="1"/>
  <c r="AC7" i="1"/>
  <c r="AB7" i="1"/>
  <c r="AA7" i="1"/>
  <c r="Z7" i="1"/>
  <c r="Y7" i="1"/>
  <c r="X7" i="1"/>
  <c r="AF4" i="5"/>
  <c r="AE4" i="5"/>
  <c r="AD4" i="5"/>
  <c r="AC4" i="5"/>
  <c r="AB4" i="5"/>
  <c r="AA4" i="5"/>
  <c r="Z4" i="5"/>
  <c r="Y4" i="5"/>
  <c r="X4" i="5"/>
  <c r="AF4" i="4"/>
  <c r="AE4" i="4"/>
  <c r="AD4" i="4"/>
  <c r="AC4" i="4"/>
  <c r="AB4" i="4"/>
  <c r="AA4" i="4"/>
  <c r="Z4" i="4"/>
  <c r="Y4" i="4"/>
  <c r="X4" i="4"/>
  <c r="AF6" i="3"/>
  <c r="AE6" i="3"/>
  <c r="AD6" i="3"/>
  <c r="AC6" i="3"/>
  <c r="AB6" i="3"/>
  <c r="AA6" i="3"/>
  <c r="Z6" i="3"/>
  <c r="Y6" i="3"/>
  <c r="X6" i="3"/>
  <c r="AF4" i="2"/>
  <c r="AE4" i="2"/>
  <c r="AD4" i="2"/>
  <c r="AC4" i="2"/>
  <c r="AB4" i="2"/>
  <c r="AA4" i="2"/>
  <c r="Z4" i="2"/>
  <c r="Y4" i="2"/>
  <c r="X4" i="2"/>
  <c r="AF4" i="1"/>
  <c r="AE4" i="1"/>
  <c r="AD4" i="1"/>
  <c r="AF5" i="1"/>
  <c r="AE5" i="1"/>
  <c r="AD5" i="1"/>
  <c r="AC5" i="1"/>
  <c r="AB5" i="1"/>
  <c r="AA5" i="1"/>
  <c r="Z5" i="1"/>
  <c r="Y5" i="1"/>
  <c r="X5" i="1"/>
  <c r="AC4" i="1"/>
  <c r="AB4" i="1"/>
  <c r="Z4" i="1"/>
  <c r="Y4" i="1"/>
  <c r="X4" i="1"/>
  <c r="O18" i="10" l="1"/>
  <c r="M18" i="10"/>
  <c r="K18" i="10"/>
  <c r="I18" i="10"/>
  <c r="G18" i="10"/>
  <c r="AJ18" i="10" l="1"/>
  <c r="AI18" i="10"/>
  <c r="R18" i="10"/>
  <c r="S18" i="10" s="1"/>
  <c r="V18" i="10"/>
  <c r="Q18" i="10"/>
  <c r="T18" i="10"/>
  <c r="AG18" i="10"/>
  <c r="AK18" i="10"/>
  <c r="O18" i="11"/>
  <c r="M18" i="11"/>
  <c r="K18" i="11"/>
  <c r="I18" i="11"/>
  <c r="G18" i="11"/>
  <c r="O17" i="11"/>
  <c r="O16" i="11"/>
  <c r="O15" i="11"/>
  <c r="M17" i="11"/>
  <c r="M16" i="11"/>
  <c r="M15" i="11"/>
  <c r="K17" i="11"/>
  <c r="K16" i="11"/>
  <c r="K15" i="11"/>
  <c r="I17" i="11"/>
  <c r="I16" i="11"/>
  <c r="I15" i="11"/>
  <c r="G17" i="11"/>
  <c r="G16" i="11"/>
  <c r="G15" i="11"/>
  <c r="O17" i="10"/>
  <c r="O16" i="10"/>
  <c r="O15" i="10"/>
  <c r="M17" i="10"/>
  <c r="M16" i="10"/>
  <c r="M15" i="10"/>
  <c r="K17" i="10"/>
  <c r="K16" i="10"/>
  <c r="K15" i="10"/>
  <c r="I17" i="10"/>
  <c r="I16" i="10"/>
  <c r="I15" i="10"/>
  <c r="G17" i="10"/>
  <c r="G16" i="10"/>
  <c r="G15" i="10"/>
  <c r="O18" i="2"/>
  <c r="M18" i="2"/>
  <c r="K18" i="2"/>
  <c r="I18" i="2"/>
  <c r="G18" i="2"/>
  <c r="AJ17" i="10" l="1"/>
  <c r="AI17" i="10"/>
  <c r="V17" i="10"/>
  <c r="Q17" i="10"/>
  <c r="T17" i="10"/>
  <c r="AG17" i="10"/>
  <c r="R17" i="10"/>
  <c r="S17" i="10" s="1"/>
  <c r="AJ15" i="10"/>
  <c r="AI15" i="10"/>
  <c r="V15" i="10"/>
  <c r="Q15" i="10"/>
  <c r="T15" i="10"/>
  <c r="AG15" i="10"/>
  <c r="R15" i="10"/>
  <c r="S15" i="10" s="1"/>
  <c r="AJ16" i="11"/>
  <c r="AI16" i="11"/>
  <c r="AK16" i="11" s="1"/>
  <c r="AG16" i="11"/>
  <c r="R16" i="11"/>
  <c r="S16" i="11" s="1"/>
  <c r="V16" i="11"/>
  <c r="Q16" i="11"/>
  <c r="T16" i="11"/>
  <c r="AJ18" i="11"/>
  <c r="AI18" i="11"/>
  <c r="V18" i="11"/>
  <c r="Q18" i="11"/>
  <c r="T18" i="11"/>
  <c r="AG18" i="11"/>
  <c r="R18" i="11"/>
  <c r="S18" i="11" s="1"/>
  <c r="AJ18" i="2"/>
  <c r="AI18" i="2"/>
  <c r="T18" i="2"/>
  <c r="AG18" i="2"/>
  <c r="R18" i="2"/>
  <c r="S18" i="2" s="1"/>
  <c r="V18" i="2"/>
  <c r="Q18" i="2"/>
  <c r="AJ16" i="10"/>
  <c r="AI16" i="10"/>
  <c r="R16" i="10"/>
  <c r="S16" i="10" s="1"/>
  <c r="V16" i="10"/>
  <c r="Q16" i="10"/>
  <c r="T16" i="10"/>
  <c r="AG16" i="10"/>
  <c r="AJ17" i="11"/>
  <c r="AI17" i="11"/>
  <c r="AK17" i="11" s="1"/>
  <c r="R17" i="11"/>
  <c r="S17" i="11" s="1"/>
  <c r="V17" i="11"/>
  <c r="Q17" i="11"/>
  <c r="T17" i="11"/>
  <c r="AG17" i="11"/>
  <c r="AJ15" i="11"/>
  <c r="AI15" i="11"/>
  <c r="AK15" i="11" s="1"/>
  <c r="R15" i="11"/>
  <c r="S15" i="11" s="1"/>
  <c r="V15" i="11"/>
  <c r="Q15" i="11"/>
  <c r="T15" i="11"/>
  <c r="AG15" i="11"/>
  <c r="AK17" i="10"/>
  <c r="AK18" i="2"/>
  <c r="AK16" i="10"/>
  <c r="AK18" i="11"/>
  <c r="O14" i="11"/>
  <c r="O13" i="11"/>
  <c r="O12" i="11"/>
  <c r="M14" i="11"/>
  <c r="M13" i="11"/>
  <c r="M12" i="11"/>
  <c r="K14" i="11"/>
  <c r="K13" i="11"/>
  <c r="K12" i="11"/>
  <c r="I14" i="11"/>
  <c r="I13" i="11"/>
  <c r="I12" i="11"/>
  <c r="G14" i="11"/>
  <c r="G13" i="11"/>
  <c r="G12" i="11"/>
  <c r="O14" i="10"/>
  <c r="O13" i="10"/>
  <c r="O12" i="10"/>
  <c r="M14" i="10"/>
  <c r="M13" i="10"/>
  <c r="M12" i="10"/>
  <c r="K14" i="10"/>
  <c r="K13" i="10"/>
  <c r="K12" i="10"/>
  <c r="I14" i="10"/>
  <c r="I13" i="10"/>
  <c r="I12" i="10"/>
  <c r="G14" i="10"/>
  <c r="G13" i="10"/>
  <c r="G12" i="10"/>
  <c r="O17" i="2"/>
  <c r="M17" i="2"/>
  <c r="K17" i="2"/>
  <c r="I17" i="2"/>
  <c r="G17" i="2"/>
  <c r="O18" i="1"/>
  <c r="O17" i="1"/>
  <c r="M18" i="1"/>
  <c r="M17" i="1"/>
  <c r="K18" i="1"/>
  <c r="K17" i="1"/>
  <c r="I18" i="1"/>
  <c r="I17" i="1"/>
  <c r="G18" i="1"/>
  <c r="G17" i="1"/>
  <c r="AJ12" i="11" l="1"/>
  <c r="AI12" i="11"/>
  <c r="AK12" i="11" s="1"/>
  <c r="T12" i="11"/>
  <c r="AG12" i="11"/>
  <c r="R12" i="11"/>
  <c r="S12" i="11" s="1"/>
  <c r="V12" i="11"/>
  <c r="Q12" i="11"/>
  <c r="AJ14" i="10"/>
  <c r="AI14" i="10"/>
  <c r="T14" i="10"/>
  <c r="AG14" i="10"/>
  <c r="R14" i="10"/>
  <c r="S14" i="10" s="1"/>
  <c r="V14" i="10"/>
  <c r="Q14" i="10"/>
  <c r="AJ12" i="10"/>
  <c r="AI12" i="10"/>
  <c r="AG12" i="10"/>
  <c r="R12" i="10"/>
  <c r="S12" i="10" s="1"/>
  <c r="V12" i="10"/>
  <c r="Q12" i="10"/>
  <c r="T12" i="10"/>
  <c r="AJ13" i="11"/>
  <c r="AI13" i="11"/>
  <c r="AK13" i="11" s="1"/>
  <c r="V13" i="11"/>
  <c r="Q13" i="11"/>
  <c r="T13" i="11"/>
  <c r="AG13" i="11"/>
  <c r="R13" i="11"/>
  <c r="S13" i="11" s="1"/>
  <c r="AJ18" i="1"/>
  <c r="AI18" i="1"/>
  <c r="V18" i="1"/>
  <c r="Q18" i="1"/>
  <c r="T18" i="1"/>
  <c r="AG18" i="1"/>
  <c r="R18" i="1"/>
  <c r="S18" i="1" s="1"/>
  <c r="AJ17" i="2"/>
  <c r="AI17" i="2"/>
  <c r="R17" i="2"/>
  <c r="S17" i="2" s="1"/>
  <c r="V17" i="2"/>
  <c r="Q17" i="2"/>
  <c r="T17" i="2"/>
  <c r="AG17" i="2"/>
  <c r="AJ13" i="10"/>
  <c r="AI13" i="10"/>
  <c r="T13" i="10"/>
  <c r="AG13" i="10"/>
  <c r="R13" i="10"/>
  <c r="S13" i="10" s="1"/>
  <c r="V13" i="10"/>
  <c r="Q13" i="10"/>
  <c r="AJ14" i="11"/>
  <c r="AI14" i="11"/>
  <c r="R14" i="11"/>
  <c r="S14" i="11" s="1"/>
  <c r="V14" i="11"/>
  <c r="Q14" i="11"/>
  <c r="T14" i="11"/>
  <c r="AG14" i="11"/>
  <c r="AK13" i="10"/>
  <c r="AK15" i="10"/>
  <c r="AK14" i="10"/>
  <c r="O11" i="11"/>
  <c r="O10" i="11"/>
  <c r="M11" i="11"/>
  <c r="M10" i="11"/>
  <c r="K11" i="11"/>
  <c r="K10" i="11"/>
  <c r="I11" i="11"/>
  <c r="I10" i="11"/>
  <c r="G11" i="11"/>
  <c r="G10" i="11"/>
  <c r="O11" i="10"/>
  <c r="O10" i="10"/>
  <c r="M11" i="10"/>
  <c r="M10" i="10"/>
  <c r="K11" i="10"/>
  <c r="K10" i="10"/>
  <c r="I11" i="10"/>
  <c r="I10" i="10"/>
  <c r="G11" i="10"/>
  <c r="G10" i="10"/>
  <c r="O16" i="2"/>
  <c r="O15" i="2"/>
  <c r="M16" i="2"/>
  <c r="M15" i="2"/>
  <c r="K16" i="2"/>
  <c r="K15" i="2"/>
  <c r="I16" i="2"/>
  <c r="I15" i="2"/>
  <c r="G16" i="2"/>
  <c r="G15" i="2"/>
  <c r="O16" i="1"/>
  <c r="O15" i="1"/>
  <c r="M16" i="1"/>
  <c r="M15" i="1"/>
  <c r="K16" i="1"/>
  <c r="K15" i="1"/>
  <c r="I16" i="1"/>
  <c r="I15" i="1"/>
  <c r="G16" i="1"/>
  <c r="G15" i="1"/>
  <c r="AJ10" i="10" l="1"/>
  <c r="AI10" i="10"/>
  <c r="R10" i="10"/>
  <c r="S10" i="10" s="1"/>
  <c r="V10" i="10"/>
  <c r="Q10" i="10"/>
  <c r="T10" i="10"/>
  <c r="AG10" i="10"/>
  <c r="AJ16" i="1"/>
  <c r="AI16" i="1"/>
  <c r="AG16" i="1"/>
  <c r="R16" i="1"/>
  <c r="S16" i="1" s="1"/>
  <c r="V16" i="1"/>
  <c r="T16" i="1"/>
  <c r="Q16" i="1"/>
  <c r="AJ16" i="2"/>
  <c r="AI16" i="2"/>
  <c r="T16" i="2"/>
  <c r="AG16" i="2"/>
  <c r="R16" i="2"/>
  <c r="S16" i="2" s="1"/>
  <c r="V16" i="2"/>
  <c r="Q16" i="2"/>
  <c r="AJ11" i="11"/>
  <c r="AI11" i="11"/>
  <c r="R11" i="11"/>
  <c r="S11" i="11" s="1"/>
  <c r="V11" i="11"/>
  <c r="Q11" i="11"/>
  <c r="T11" i="11"/>
  <c r="AG11" i="11"/>
  <c r="AJ15" i="1"/>
  <c r="AI15" i="1"/>
  <c r="V15" i="1"/>
  <c r="Q15" i="1"/>
  <c r="T15" i="1"/>
  <c r="R15" i="1"/>
  <c r="S15" i="1" s="1"/>
  <c r="AG15" i="1"/>
  <c r="AJ11" i="10"/>
  <c r="AK11" i="10" s="1"/>
  <c r="AI11" i="10"/>
  <c r="T11" i="10"/>
  <c r="AG11" i="10"/>
  <c r="V11" i="10"/>
  <c r="R11" i="10"/>
  <c r="S11" i="10" s="1"/>
  <c r="Q11" i="10"/>
  <c r="AJ15" i="2"/>
  <c r="AI15" i="2"/>
  <c r="AK15" i="2" s="1"/>
  <c r="V15" i="2"/>
  <c r="Q15" i="2"/>
  <c r="T15" i="2"/>
  <c r="R15" i="2"/>
  <c r="S15" i="2" s="1"/>
  <c r="AG15" i="2"/>
  <c r="AJ10" i="11"/>
  <c r="AI10" i="11"/>
  <c r="AK10" i="11" s="1"/>
  <c r="AG10" i="11"/>
  <c r="R10" i="11"/>
  <c r="S10" i="11" s="1"/>
  <c r="V10" i="11"/>
  <c r="T10" i="11"/>
  <c r="Q10" i="11"/>
  <c r="AK14" i="11"/>
  <c r="AK16" i="2"/>
  <c r="AK17" i="2"/>
  <c r="AK15" i="1"/>
  <c r="AK16" i="1"/>
  <c r="AK18" i="1"/>
  <c r="AK12" i="10"/>
  <c r="AK11" i="11"/>
  <c r="O9" i="11"/>
  <c r="M9" i="11"/>
  <c r="K9" i="11"/>
  <c r="I9" i="11"/>
  <c r="G9" i="11"/>
  <c r="O9" i="10"/>
  <c r="M9" i="10"/>
  <c r="K9" i="10"/>
  <c r="I9" i="10"/>
  <c r="G9" i="10"/>
  <c r="I9" i="7"/>
  <c r="O14" i="1"/>
  <c r="M14" i="1"/>
  <c r="K14" i="1"/>
  <c r="I14" i="1"/>
  <c r="G14" i="1"/>
  <c r="O14" i="2"/>
  <c r="O13" i="2"/>
  <c r="O12" i="2"/>
  <c r="M14" i="2"/>
  <c r="M13" i="2"/>
  <c r="M12" i="2"/>
  <c r="K14" i="2"/>
  <c r="K13" i="2"/>
  <c r="K12" i="2"/>
  <c r="I14" i="2"/>
  <c r="I13" i="2"/>
  <c r="I12" i="2"/>
  <c r="G14" i="2"/>
  <c r="G13" i="2"/>
  <c r="G12" i="2"/>
  <c r="AJ9" i="10" l="1"/>
  <c r="AI9" i="10"/>
  <c r="AG9" i="10"/>
  <c r="R9" i="10"/>
  <c r="S9" i="10" s="1"/>
  <c r="T9" i="10"/>
  <c r="Q9" i="10"/>
  <c r="V9" i="10"/>
  <c r="AJ9" i="11"/>
  <c r="AI9" i="11"/>
  <c r="T9" i="11"/>
  <c r="AG9" i="11"/>
  <c r="R9" i="11"/>
  <c r="S9" i="11" s="1"/>
  <c r="Q9" i="11"/>
  <c r="V9" i="11"/>
  <c r="AJ12" i="2"/>
  <c r="AI12" i="2"/>
  <c r="R12" i="2"/>
  <c r="S12" i="2" s="1"/>
  <c r="V12" i="2"/>
  <c r="Q12" i="2"/>
  <c r="T12" i="2"/>
  <c r="AG12" i="2"/>
  <c r="AJ14" i="1"/>
  <c r="AK14" i="1" s="1"/>
  <c r="AI14" i="1"/>
  <c r="V14" i="1"/>
  <c r="R14" i="1"/>
  <c r="S14" i="1" s="1"/>
  <c r="Q14" i="1"/>
  <c r="AG14" i="1"/>
  <c r="T14" i="1"/>
  <c r="AJ9" i="7"/>
  <c r="AI9" i="7"/>
  <c r="AK9" i="7" s="1"/>
  <c r="Q9" i="7"/>
  <c r="AJ13" i="2"/>
  <c r="AI13" i="2"/>
  <c r="R13" i="2"/>
  <c r="S13" i="2" s="1"/>
  <c r="V13" i="2"/>
  <c r="Q13" i="2"/>
  <c r="T13" i="2"/>
  <c r="AG13" i="2"/>
  <c r="AJ14" i="2"/>
  <c r="AI14" i="2"/>
  <c r="V14" i="2"/>
  <c r="Q14" i="2"/>
  <c r="T14" i="2"/>
  <c r="R14" i="2"/>
  <c r="S14" i="2" s="1"/>
  <c r="AG14" i="2"/>
  <c r="AK9" i="11"/>
  <c r="AK14" i="2"/>
  <c r="AK9" i="10"/>
  <c r="AK10" i="10"/>
  <c r="O8" i="13"/>
  <c r="O9" i="13"/>
  <c r="O10" i="13"/>
  <c r="O11" i="13"/>
  <c r="O12" i="13"/>
  <c r="O13" i="13"/>
  <c r="O14" i="13"/>
  <c r="O15" i="13"/>
  <c r="O16" i="13"/>
  <c r="O17" i="13"/>
  <c r="O18" i="13"/>
  <c r="M8" i="13"/>
  <c r="M9" i="13"/>
  <c r="M10" i="13"/>
  <c r="M11" i="13"/>
  <c r="M12" i="13"/>
  <c r="M13" i="13"/>
  <c r="M14" i="13"/>
  <c r="M15" i="13"/>
  <c r="M16" i="13"/>
  <c r="M17" i="13"/>
  <c r="M18" i="13"/>
  <c r="K8" i="13"/>
  <c r="K9" i="13"/>
  <c r="K10" i="13"/>
  <c r="K11" i="13"/>
  <c r="K12" i="13"/>
  <c r="K13" i="13"/>
  <c r="K14" i="13"/>
  <c r="K15" i="13"/>
  <c r="K16" i="13"/>
  <c r="K17" i="13"/>
  <c r="K18" i="13"/>
  <c r="I8" i="13"/>
  <c r="I9" i="13"/>
  <c r="I10" i="13"/>
  <c r="I11" i="13"/>
  <c r="I12" i="13"/>
  <c r="I13" i="13"/>
  <c r="I14" i="13"/>
  <c r="I15" i="13"/>
  <c r="I16" i="13"/>
  <c r="I17" i="13"/>
  <c r="I18" i="13"/>
  <c r="G8" i="13"/>
  <c r="G9" i="13"/>
  <c r="G10" i="13"/>
  <c r="G11" i="13"/>
  <c r="G12" i="13"/>
  <c r="G13" i="13"/>
  <c r="G14" i="13"/>
  <c r="G15" i="13"/>
  <c r="G16" i="13"/>
  <c r="G17" i="13"/>
  <c r="G18" i="13"/>
  <c r="B12" i="13"/>
  <c r="B17" i="13" s="1"/>
  <c r="C17" i="13" s="1"/>
  <c r="O8" i="11"/>
  <c r="M8" i="11"/>
  <c r="K8" i="11"/>
  <c r="I8" i="11"/>
  <c r="G8" i="11"/>
  <c r="B12" i="11"/>
  <c r="O8" i="10"/>
  <c r="M8" i="10"/>
  <c r="K8" i="10"/>
  <c r="I8" i="10"/>
  <c r="G8" i="10"/>
  <c r="B12" i="10"/>
  <c r="C12" i="10" s="1"/>
  <c r="O8" i="7"/>
  <c r="O9" i="7"/>
  <c r="O10" i="7"/>
  <c r="O11" i="7"/>
  <c r="O12" i="7"/>
  <c r="O13" i="7"/>
  <c r="O14" i="7"/>
  <c r="O15" i="7"/>
  <c r="O16" i="7"/>
  <c r="O17" i="7"/>
  <c r="O18" i="7"/>
  <c r="M8" i="7"/>
  <c r="M9" i="7"/>
  <c r="M10" i="7"/>
  <c r="M11" i="7"/>
  <c r="M12" i="7"/>
  <c r="M13" i="7"/>
  <c r="M14" i="7"/>
  <c r="M15" i="7"/>
  <c r="M16" i="7"/>
  <c r="M17" i="7"/>
  <c r="M18" i="7"/>
  <c r="K8" i="7"/>
  <c r="K9" i="7"/>
  <c r="T9" i="7" s="1"/>
  <c r="K10" i="7"/>
  <c r="K11" i="7"/>
  <c r="K12" i="7"/>
  <c r="K13" i="7"/>
  <c r="K14" i="7"/>
  <c r="K15" i="7"/>
  <c r="K16" i="7"/>
  <c r="K17" i="7"/>
  <c r="K18" i="7"/>
  <c r="I8" i="7"/>
  <c r="I10" i="7"/>
  <c r="I11" i="7"/>
  <c r="I12" i="7"/>
  <c r="I13" i="7"/>
  <c r="I14" i="7"/>
  <c r="I15" i="7"/>
  <c r="I16" i="7"/>
  <c r="I17" i="7"/>
  <c r="I18" i="7"/>
  <c r="G9" i="7"/>
  <c r="G10" i="7"/>
  <c r="G11" i="7"/>
  <c r="G12" i="7"/>
  <c r="G13" i="7"/>
  <c r="G14" i="7"/>
  <c r="G15" i="7"/>
  <c r="G16" i="7"/>
  <c r="G17" i="7"/>
  <c r="G18" i="7"/>
  <c r="G8" i="7"/>
  <c r="B12" i="7"/>
  <c r="B18" i="7" s="1"/>
  <c r="C18" i="7" s="1"/>
  <c r="O11" i="2"/>
  <c r="M11" i="2"/>
  <c r="K11" i="2"/>
  <c r="I11" i="2"/>
  <c r="G11" i="2"/>
  <c r="B12" i="2"/>
  <c r="B18" i="2" s="1"/>
  <c r="C18" i="2" s="1"/>
  <c r="O13" i="1"/>
  <c r="O12" i="1"/>
  <c r="M13" i="1"/>
  <c r="M12" i="1"/>
  <c r="K13" i="1"/>
  <c r="K12" i="1"/>
  <c r="I13" i="1"/>
  <c r="I12" i="1"/>
  <c r="G13" i="1"/>
  <c r="G12" i="1"/>
  <c r="B12" i="1"/>
  <c r="B17" i="1" s="1"/>
  <c r="AJ15" i="13" l="1"/>
  <c r="AI15" i="13"/>
  <c r="R15" i="13"/>
  <c r="S15" i="13" s="1"/>
  <c r="V15" i="13"/>
  <c r="Q15" i="13"/>
  <c r="AG15" i="13"/>
  <c r="T15" i="13"/>
  <c r="AJ11" i="13"/>
  <c r="AI11" i="13"/>
  <c r="AG11" i="13"/>
  <c r="R11" i="13"/>
  <c r="S11" i="13" s="1"/>
  <c r="V11" i="13"/>
  <c r="Q11" i="13"/>
  <c r="T11" i="13"/>
  <c r="R9" i="7"/>
  <c r="S9" i="7" s="1"/>
  <c r="AJ12" i="1"/>
  <c r="AI12" i="1"/>
  <c r="V12" i="1"/>
  <c r="Q12" i="1"/>
  <c r="T12" i="1"/>
  <c r="R12" i="1"/>
  <c r="S12" i="1" s="1"/>
  <c r="AG12" i="1"/>
  <c r="AJ8" i="7"/>
  <c r="AI8" i="7"/>
  <c r="T8" i="7"/>
  <c r="AG8" i="7"/>
  <c r="R8" i="7"/>
  <c r="S8" i="7" s="1"/>
  <c r="Q8" i="7"/>
  <c r="V8" i="7"/>
  <c r="AI11" i="2"/>
  <c r="AJ11" i="2"/>
  <c r="AG11" i="2"/>
  <c r="V11" i="2"/>
  <c r="Q11" i="2"/>
  <c r="T11" i="2"/>
  <c r="R11" i="2"/>
  <c r="S11" i="2" s="1"/>
  <c r="AJ15" i="7"/>
  <c r="AI15" i="7"/>
  <c r="V15" i="7"/>
  <c r="Q15" i="7"/>
  <c r="T15" i="7"/>
  <c r="AG15" i="7"/>
  <c r="R15" i="7"/>
  <c r="S15" i="7" s="1"/>
  <c r="AJ11" i="7"/>
  <c r="AI11" i="7"/>
  <c r="R11" i="7"/>
  <c r="S11" i="7" s="1"/>
  <c r="V11" i="7"/>
  <c r="Q11" i="7"/>
  <c r="T11" i="7"/>
  <c r="AG11" i="7"/>
  <c r="B14" i="7"/>
  <c r="C14" i="7" s="1"/>
  <c r="AJ18" i="7"/>
  <c r="AI18" i="7"/>
  <c r="T18" i="7"/>
  <c r="AG18" i="7"/>
  <c r="R18" i="7"/>
  <c r="S18" i="7" s="1"/>
  <c r="V18" i="7"/>
  <c r="Q18" i="7"/>
  <c r="AJ14" i="7"/>
  <c r="AI14" i="7"/>
  <c r="R14" i="7"/>
  <c r="S14" i="7" s="1"/>
  <c r="V14" i="7"/>
  <c r="Q14" i="7"/>
  <c r="T14" i="7"/>
  <c r="AG14" i="7"/>
  <c r="AJ10" i="7"/>
  <c r="AI10" i="7"/>
  <c r="T10" i="7"/>
  <c r="AG10" i="7"/>
  <c r="V10" i="7"/>
  <c r="R10" i="7"/>
  <c r="S10" i="7" s="1"/>
  <c r="Q10" i="7"/>
  <c r="B15" i="10"/>
  <c r="C15" i="10" s="1"/>
  <c r="AJ8" i="11"/>
  <c r="AI8" i="11"/>
  <c r="AG8" i="11"/>
  <c r="R8" i="11"/>
  <c r="S8" i="11" s="1"/>
  <c r="T8" i="11"/>
  <c r="Q8" i="11"/>
  <c r="V8" i="11"/>
  <c r="AJ18" i="13"/>
  <c r="AI18" i="13"/>
  <c r="AG18" i="13"/>
  <c r="R18" i="13"/>
  <c r="S18" i="13" s="1"/>
  <c r="V18" i="13"/>
  <c r="Q18" i="13"/>
  <c r="T18" i="13"/>
  <c r="AJ14" i="13"/>
  <c r="AI14" i="13"/>
  <c r="AG14" i="13"/>
  <c r="R14" i="13"/>
  <c r="S14" i="13" s="1"/>
  <c r="V14" i="13"/>
  <c r="Q14" i="13"/>
  <c r="T14" i="13"/>
  <c r="AJ10" i="13"/>
  <c r="AI10" i="13"/>
  <c r="T10" i="13"/>
  <c r="AG10" i="13"/>
  <c r="V10" i="13"/>
  <c r="R10" i="13"/>
  <c r="S10" i="13" s="1"/>
  <c r="Q10" i="13"/>
  <c r="V9" i="7"/>
  <c r="AG9" i="7"/>
  <c r="AJ17" i="7"/>
  <c r="AI17" i="7"/>
  <c r="T17" i="7"/>
  <c r="AG17" i="7"/>
  <c r="R17" i="7"/>
  <c r="S17" i="7" s="1"/>
  <c r="V17" i="7"/>
  <c r="Q17" i="7"/>
  <c r="AJ13" i="7"/>
  <c r="AI13" i="7"/>
  <c r="R13" i="7"/>
  <c r="S13" i="7" s="1"/>
  <c r="V13" i="7"/>
  <c r="Q13" i="7"/>
  <c r="T13" i="7"/>
  <c r="AG13" i="7"/>
  <c r="AJ17" i="13"/>
  <c r="AI17" i="13"/>
  <c r="AG17" i="13"/>
  <c r="R17" i="13"/>
  <c r="S17" i="13" s="1"/>
  <c r="V17" i="13"/>
  <c r="Q17" i="13"/>
  <c r="T17" i="13"/>
  <c r="AJ13" i="13"/>
  <c r="AI13" i="13"/>
  <c r="AG13" i="13"/>
  <c r="R13" i="13"/>
  <c r="S13" i="13" s="1"/>
  <c r="V13" i="13"/>
  <c r="Q13" i="13"/>
  <c r="T13" i="13"/>
  <c r="AJ9" i="13"/>
  <c r="AI9" i="13"/>
  <c r="AG9" i="13"/>
  <c r="R9" i="13"/>
  <c r="S9" i="13" s="1"/>
  <c r="V9" i="13"/>
  <c r="T9" i="13"/>
  <c r="Q9" i="13"/>
  <c r="AJ13" i="1"/>
  <c r="AI13" i="1"/>
  <c r="V13" i="1"/>
  <c r="Q13" i="1"/>
  <c r="T13" i="1"/>
  <c r="R13" i="1"/>
  <c r="S13" i="1" s="1"/>
  <c r="AG13" i="1"/>
  <c r="AJ16" i="7"/>
  <c r="AI16" i="7"/>
  <c r="V16" i="7"/>
  <c r="Q16" i="7"/>
  <c r="T16" i="7"/>
  <c r="AG16" i="7"/>
  <c r="R16" i="7"/>
  <c r="S16" i="7" s="1"/>
  <c r="AJ12" i="7"/>
  <c r="AI12" i="7"/>
  <c r="V12" i="7"/>
  <c r="Q12" i="7"/>
  <c r="T12" i="7"/>
  <c r="AG12" i="7"/>
  <c r="R12" i="7"/>
  <c r="S12" i="7" s="1"/>
  <c r="AJ8" i="10"/>
  <c r="AI8" i="10"/>
  <c r="R8" i="10"/>
  <c r="S8" i="10" s="1"/>
  <c r="V8" i="10"/>
  <c r="Q8" i="10"/>
  <c r="T8" i="10"/>
  <c r="AG8" i="10"/>
  <c r="AJ16" i="13"/>
  <c r="AI16" i="13"/>
  <c r="AG16" i="13"/>
  <c r="R16" i="13"/>
  <c r="S16" i="13" s="1"/>
  <c r="V16" i="13"/>
  <c r="Q16" i="13"/>
  <c r="T16" i="13"/>
  <c r="AJ12" i="13"/>
  <c r="AI12" i="13"/>
  <c r="AG12" i="13"/>
  <c r="R12" i="13"/>
  <c r="S12" i="13" s="1"/>
  <c r="V12" i="13"/>
  <c r="Q12" i="13"/>
  <c r="T12" i="13"/>
  <c r="AJ8" i="13"/>
  <c r="AK8" i="13" s="1"/>
  <c r="AI8" i="13"/>
  <c r="T8" i="13"/>
  <c r="AG8" i="13"/>
  <c r="R8" i="13"/>
  <c r="S8" i="13" s="1"/>
  <c r="Q8" i="13"/>
  <c r="V8" i="13"/>
  <c r="B15" i="13"/>
  <c r="C15" i="13" s="1"/>
  <c r="AK11" i="13"/>
  <c r="C12" i="13"/>
  <c r="B18" i="13"/>
  <c r="C18" i="13" s="1"/>
  <c r="AK10" i="13"/>
  <c r="B13" i="13"/>
  <c r="C13" i="13" s="1"/>
  <c r="AK16" i="13"/>
  <c r="AK12" i="13"/>
  <c r="B18" i="11"/>
  <c r="C18" i="11" s="1"/>
  <c r="B14" i="11"/>
  <c r="C14" i="11" s="1"/>
  <c r="AK8" i="11"/>
  <c r="B13" i="10"/>
  <c r="C13" i="10" s="1"/>
  <c r="B17" i="7"/>
  <c r="C17" i="7" s="1"/>
  <c r="B13" i="7"/>
  <c r="C13" i="7" s="1"/>
  <c r="AK12" i="7"/>
  <c r="B15" i="7"/>
  <c r="C15" i="7" s="1"/>
  <c r="AK15" i="7"/>
  <c r="B16" i="7"/>
  <c r="C16" i="7" s="1"/>
  <c r="C12" i="7"/>
  <c r="AK11" i="2"/>
  <c r="AK12" i="2"/>
  <c r="C12" i="2"/>
  <c r="B15" i="2"/>
  <c r="C15" i="2" s="1"/>
  <c r="B16" i="2"/>
  <c r="C16" i="2" s="1"/>
  <c r="B13" i="2"/>
  <c r="C13" i="2" s="1"/>
  <c r="B17" i="2"/>
  <c r="C17" i="2" s="1"/>
  <c r="B14" i="2"/>
  <c r="C14" i="2" s="1"/>
  <c r="AK13" i="2"/>
  <c r="B18" i="1"/>
  <c r="C18" i="1" s="1"/>
  <c r="C17" i="1"/>
  <c r="B14" i="1"/>
  <c r="C14" i="1" s="1"/>
  <c r="B15" i="1"/>
  <c r="C15" i="1" s="1"/>
  <c r="B13" i="1"/>
  <c r="C13" i="1" s="1"/>
  <c r="C12" i="1"/>
  <c r="B16" i="1"/>
  <c r="C16" i="1" s="1"/>
  <c r="AK17" i="7"/>
  <c r="B16" i="10"/>
  <c r="C16" i="10" s="1"/>
  <c r="B18" i="10"/>
  <c r="C18" i="10" s="1"/>
  <c r="B14" i="10"/>
  <c r="C14" i="10" s="1"/>
  <c r="B17" i="10"/>
  <c r="C17" i="10" s="1"/>
  <c r="AK13" i="1"/>
  <c r="AK8" i="7"/>
  <c r="B14" i="13"/>
  <c r="C14" i="13" s="1"/>
  <c r="B16" i="13"/>
  <c r="C16" i="13" s="1"/>
  <c r="B17" i="11"/>
  <c r="C17" i="11" s="1"/>
  <c r="B16" i="11"/>
  <c r="C16" i="11" s="1"/>
  <c r="C12" i="11"/>
  <c r="B13" i="11"/>
  <c r="C13" i="11" s="1"/>
  <c r="B15" i="11"/>
  <c r="C15" i="11" s="1"/>
  <c r="AK17" i="13" l="1"/>
  <c r="AK13" i="13"/>
  <c r="AK14" i="13"/>
  <c r="AK9" i="13"/>
  <c r="AK18" i="13"/>
  <c r="AK15" i="13"/>
  <c r="AK11" i="7"/>
  <c r="AK14" i="7"/>
  <c r="AK10" i="7"/>
  <c r="AK18" i="7"/>
  <c r="AK16" i="7"/>
  <c r="AK13" i="7"/>
  <c r="AK12" i="1"/>
  <c r="AK8" i="10"/>
  <c r="O7" i="13"/>
  <c r="M7" i="13"/>
  <c r="K7" i="13"/>
  <c r="I7" i="13"/>
  <c r="G7" i="13"/>
  <c r="O7" i="11"/>
  <c r="M7" i="11"/>
  <c r="K7" i="11"/>
  <c r="I7" i="11"/>
  <c r="G7" i="11"/>
  <c r="O7" i="10"/>
  <c r="M7" i="10"/>
  <c r="K7" i="10"/>
  <c r="I7" i="10"/>
  <c r="G7" i="10"/>
  <c r="O8" i="6"/>
  <c r="M8" i="6"/>
  <c r="K8" i="6"/>
  <c r="I8" i="6"/>
  <c r="G8" i="6"/>
  <c r="O7" i="7"/>
  <c r="M7" i="7"/>
  <c r="K7" i="7"/>
  <c r="I7" i="7"/>
  <c r="G7" i="7"/>
  <c r="O10" i="2"/>
  <c r="M10" i="2"/>
  <c r="K10" i="2"/>
  <c r="I10" i="2"/>
  <c r="G10" i="2"/>
  <c r="AJ7" i="10" l="1"/>
  <c r="AI7" i="10"/>
  <c r="R7" i="10"/>
  <c r="S7" i="10" s="1"/>
  <c r="V7" i="10"/>
  <c r="Q7" i="10"/>
  <c r="T7" i="10"/>
  <c r="AG7" i="10"/>
  <c r="AJ7" i="11"/>
  <c r="AK7" i="11" s="1"/>
  <c r="AI7" i="11"/>
  <c r="AG7" i="11"/>
  <c r="R7" i="11"/>
  <c r="S7" i="11" s="1"/>
  <c r="V7" i="11"/>
  <c r="Q7" i="11"/>
  <c r="T7" i="11"/>
  <c r="AJ7" i="7"/>
  <c r="AI7" i="7"/>
  <c r="AK7" i="7" s="1"/>
  <c r="AG7" i="7"/>
  <c r="R7" i="7"/>
  <c r="S7" i="7" s="1"/>
  <c r="V7" i="7"/>
  <c r="Q7" i="7"/>
  <c r="T7" i="7"/>
  <c r="AJ7" i="13"/>
  <c r="AK7" i="13" s="1"/>
  <c r="AI7" i="13"/>
  <c r="T7" i="13"/>
  <c r="AG7" i="13"/>
  <c r="R7" i="13"/>
  <c r="S7" i="13" s="1"/>
  <c r="V7" i="13"/>
  <c r="Q7" i="13"/>
  <c r="AJ10" i="2"/>
  <c r="AI10" i="2"/>
  <c r="R10" i="2"/>
  <c r="S10" i="2" s="1"/>
  <c r="V10" i="2"/>
  <c r="Q10" i="2"/>
  <c r="T10" i="2"/>
  <c r="AG10" i="2"/>
  <c r="AJ8" i="6"/>
  <c r="AI8" i="6"/>
  <c r="T8" i="6"/>
  <c r="AG8" i="6"/>
  <c r="R8" i="6"/>
  <c r="S8" i="6" s="1"/>
  <c r="V8" i="6"/>
  <c r="Q8" i="6"/>
  <c r="AK7" i="10"/>
  <c r="AK8" i="6"/>
  <c r="AK10" i="2" l="1"/>
  <c r="O6" i="11" l="1"/>
  <c r="M6" i="11"/>
  <c r="K6" i="11"/>
  <c r="I6" i="11"/>
  <c r="G6" i="11"/>
  <c r="O6" i="10"/>
  <c r="M6" i="10"/>
  <c r="K6" i="10"/>
  <c r="I6" i="10"/>
  <c r="G6" i="10"/>
  <c r="O7" i="6"/>
  <c r="M7" i="6"/>
  <c r="K7" i="6"/>
  <c r="I7" i="6"/>
  <c r="G7" i="6"/>
  <c r="O8" i="5"/>
  <c r="M8" i="5"/>
  <c r="K8" i="5"/>
  <c r="I8" i="5"/>
  <c r="G8" i="5"/>
  <c r="O8" i="4"/>
  <c r="M8" i="4"/>
  <c r="K8" i="4"/>
  <c r="I8" i="4"/>
  <c r="G8" i="4"/>
  <c r="O5" i="13"/>
  <c r="O6" i="13"/>
  <c r="M5" i="13"/>
  <c r="M6" i="13"/>
  <c r="K5" i="13"/>
  <c r="K6" i="13"/>
  <c r="I5" i="13"/>
  <c r="I6" i="13"/>
  <c r="G5" i="13"/>
  <c r="G6" i="13"/>
  <c r="O9" i="2"/>
  <c r="M9" i="2"/>
  <c r="K9" i="2"/>
  <c r="I9" i="2"/>
  <c r="G9" i="2"/>
  <c r="AJ6" i="13" l="1"/>
  <c r="AI6" i="13"/>
  <c r="T6" i="13"/>
  <c r="AG6" i="13"/>
  <c r="R6" i="13"/>
  <c r="S6" i="13" s="1"/>
  <c r="V6" i="13"/>
  <c r="Q6" i="13"/>
  <c r="AJ6" i="10"/>
  <c r="AI6" i="10"/>
  <c r="R6" i="10"/>
  <c r="S6" i="10" s="1"/>
  <c r="V6" i="10"/>
  <c r="Q6" i="10"/>
  <c r="T6" i="10"/>
  <c r="AG6" i="10"/>
  <c r="AJ5" i="13"/>
  <c r="AI5" i="13"/>
  <c r="AK5" i="13" s="1"/>
  <c r="R5" i="13"/>
  <c r="S5" i="13" s="1"/>
  <c r="V5" i="13"/>
  <c r="Q5" i="13"/>
  <c r="T5" i="13"/>
  <c r="AG5" i="13"/>
  <c r="AI8" i="4"/>
  <c r="AJ8" i="4"/>
  <c r="AG8" i="4"/>
  <c r="R8" i="4"/>
  <c r="S8" i="4" s="1"/>
  <c r="V8" i="4"/>
  <c r="Q8" i="4"/>
  <c r="T8" i="4"/>
  <c r="AJ6" i="11"/>
  <c r="AI6" i="11"/>
  <c r="AG6" i="11"/>
  <c r="R6" i="11"/>
  <c r="S6" i="11" s="1"/>
  <c r="V6" i="11"/>
  <c r="Q6" i="11"/>
  <c r="T6" i="11"/>
  <c r="AJ9" i="2"/>
  <c r="AI9" i="2"/>
  <c r="V9" i="2"/>
  <c r="Q9" i="2"/>
  <c r="T9" i="2"/>
  <c r="AG9" i="2"/>
  <c r="R9" i="2"/>
  <c r="S9" i="2" s="1"/>
  <c r="AJ8" i="5"/>
  <c r="AI8" i="5"/>
  <c r="AK8" i="5" s="1"/>
  <c r="T8" i="5"/>
  <c r="AG8" i="5"/>
  <c r="R8" i="5"/>
  <c r="S8" i="5" s="1"/>
  <c r="V8" i="5"/>
  <c r="Q8" i="5"/>
  <c r="AJ7" i="6"/>
  <c r="AI7" i="6"/>
  <c r="V7" i="6"/>
  <c r="Q7" i="6"/>
  <c r="T7" i="6"/>
  <c r="AG7" i="6"/>
  <c r="R7" i="6"/>
  <c r="S7" i="6" s="1"/>
  <c r="AK6" i="10"/>
  <c r="AK8" i="4" l="1"/>
  <c r="AK6" i="13"/>
  <c r="AK6" i="11"/>
  <c r="AK9" i="2"/>
  <c r="AK7" i="6"/>
  <c r="O5" i="10"/>
  <c r="M5" i="10"/>
  <c r="K5" i="10"/>
  <c r="G5" i="10"/>
  <c r="O5" i="11"/>
  <c r="M5" i="11"/>
  <c r="K5" i="11"/>
  <c r="I5" i="11"/>
  <c r="G5" i="11"/>
  <c r="AJ5" i="11" l="1"/>
  <c r="AI5" i="11"/>
  <c r="AK5" i="11" s="1"/>
  <c r="T5" i="11"/>
  <c r="AG5" i="11"/>
  <c r="R5" i="11"/>
  <c r="S5" i="11" s="1"/>
  <c r="V5" i="11"/>
  <c r="Q5" i="11"/>
  <c r="O4" i="13"/>
  <c r="M4" i="13"/>
  <c r="K4" i="13"/>
  <c r="I4" i="13"/>
  <c r="G4" i="13"/>
  <c r="M4" i="11"/>
  <c r="K4" i="11"/>
  <c r="I4" i="11"/>
  <c r="G4" i="11"/>
  <c r="O4" i="11"/>
  <c r="O4" i="10"/>
  <c r="M4" i="10"/>
  <c r="K4" i="10"/>
  <c r="I5" i="10"/>
  <c r="I4" i="10"/>
  <c r="G4" i="10"/>
  <c r="AI4" i="11" l="1"/>
  <c r="AJ4" i="11"/>
  <c r="Q4" i="11"/>
  <c r="AG4" i="11"/>
  <c r="T4" i="11"/>
  <c r="V4" i="11"/>
  <c r="R4" i="11"/>
  <c r="S4" i="11" s="1"/>
  <c r="AJ4" i="13"/>
  <c r="AI4" i="13"/>
  <c r="R4" i="13"/>
  <c r="S4" i="13" s="1"/>
  <c r="V4" i="13"/>
  <c r="Q4" i="13"/>
  <c r="T4" i="13"/>
  <c r="AG4" i="13"/>
  <c r="AI4" i="10"/>
  <c r="AJ4" i="10"/>
  <c r="T4" i="10"/>
  <c r="AG4" i="10"/>
  <c r="R4" i="10"/>
  <c r="S4" i="10" s="1"/>
  <c r="Q4" i="10"/>
  <c r="V4" i="10"/>
  <c r="AJ5" i="10"/>
  <c r="AI5" i="10"/>
  <c r="AG5" i="10"/>
  <c r="R5" i="10"/>
  <c r="S5" i="10" s="1"/>
  <c r="V5" i="10"/>
  <c r="Q5" i="10"/>
  <c r="T5" i="10"/>
  <c r="O8" i="3"/>
  <c r="M8" i="3"/>
  <c r="K8" i="3"/>
  <c r="I8" i="3"/>
  <c r="G8" i="3"/>
  <c r="O7" i="5"/>
  <c r="M7" i="5"/>
  <c r="K7" i="5"/>
  <c r="I7" i="5"/>
  <c r="G7" i="5"/>
  <c r="O7" i="4"/>
  <c r="M7" i="4"/>
  <c r="K7" i="4"/>
  <c r="I7" i="4"/>
  <c r="G7" i="4"/>
  <c r="O6" i="7"/>
  <c r="O5" i="7"/>
  <c r="O4" i="7"/>
  <c r="M6" i="7"/>
  <c r="M5" i="7"/>
  <c r="M4" i="7"/>
  <c r="K6" i="7"/>
  <c r="K5" i="7"/>
  <c r="K4" i="7"/>
  <c r="I6" i="7"/>
  <c r="I5" i="7"/>
  <c r="I4" i="7"/>
  <c r="G6" i="7"/>
  <c r="G5" i="7"/>
  <c r="G4" i="7"/>
  <c r="O8" i="2"/>
  <c r="M8" i="2"/>
  <c r="K8" i="2"/>
  <c r="I8" i="2"/>
  <c r="G8" i="2"/>
  <c r="AI8" i="3" l="1"/>
  <c r="AJ8" i="3"/>
  <c r="T8" i="3"/>
  <c r="AG8" i="3"/>
  <c r="R8" i="3"/>
  <c r="S8" i="3" s="1"/>
  <c r="V8" i="3"/>
  <c r="Q8" i="3"/>
  <c r="AJ8" i="2"/>
  <c r="AI8" i="2"/>
  <c r="AK8" i="2" s="1"/>
  <c r="T8" i="2"/>
  <c r="AG8" i="2"/>
  <c r="V8" i="2"/>
  <c r="R8" i="2"/>
  <c r="S8" i="2" s="1"/>
  <c r="Q8" i="2"/>
  <c r="AJ5" i="7"/>
  <c r="AI5" i="7"/>
  <c r="AK5" i="7" s="1"/>
  <c r="V5" i="7"/>
  <c r="R5" i="7"/>
  <c r="S5" i="7" s="1"/>
  <c r="T5" i="7"/>
  <c r="AG5" i="7"/>
  <c r="Q5" i="7"/>
  <c r="AI7" i="4"/>
  <c r="AJ7" i="4"/>
  <c r="R7" i="4"/>
  <c r="S7" i="4" s="1"/>
  <c r="V7" i="4"/>
  <c r="Q7" i="4"/>
  <c r="AG7" i="4"/>
  <c r="T7" i="4"/>
  <c r="AJ4" i="7"/>
  <c r="AI4" i="7"/>
  <c r="V4" i="7"/>
  <c r="Q4" i="7"/>
  <c r="T4" i="7"/>
  <c r="AG4" i="7"/>
  <c r="R4" i="7"/>
  <c r="S4" i="7" s="1"/>
  <c r="AI6" i="7"/>
  <c r="AJ6" i="7"/>
  <c r="V6" i="7"/>
  <c r="Q6" i="7"/>
  <c r="T6" i="7"/>
  <c r="AG6" i="7"/>
  <c r="R6" i="7"/>
  <c r="S6" i="7" s="1"/>
  <c r="AI7" i="5"/>
  <c r="AJ7" i="5"/>
  <c r="AG7" i="5"/>
  <c r="R7" i="5"/>
  <c r="S7" i="5" s="1"/>
  <c r="T7" i="5"/>
  <c r="V7" i="5"/>
  <c r="Q7" i="5"/>
  <c r="AK7" i="4"/>
  <c r="AK4" i="13"/>
  <c r="AK5" i="10"/>
  <c r="AK4" i="7"/>
  <c r="AK4" i="10"/>
  <c r="AK4" i="11"/>
  <c r="B11" i="13"/>
  <c r="C11" i="13" s="1"/>
  <c r="B10" i="13"/>
  <c r="C10" i="13" s="1"/>
  <c r="B9" i="13"/>
  <c r="C9" i="13" s="1"/>
  <c r="B8" i="13"/>
  <c r="C8" i="13" s="1"/>
  <c r="B7" i="13"/>
  <c r="C7" i="13" s="1"/>
  <c r="B6" i="13"/>
  <c r="C6" i="13" s="1"/>
  <c r="B5" i="13"/>
  <c r="C5" i="13" s="1"/>
  <c r="C4" i="13"/>
  <c r="AK7" i="5" l="1"/>
  <c r="AK8" i="3"/>
  <c r="AK6" i="7"/>
  <c r="B11" i="11"/>
  <c r="C11" i="11" s="1"/>
  <c r="B10" i="11"/>
  <c r="C10" i="11" s="1"/>
  <c r="B9" i="11"/>
  <c r="C9" i="11" s="1"/>
  <c r="B8" i="11"/>
  <c r="C8" i="11" s="1"/>
  <c r="B7" i="11"/>
  <c r="C7" i="11" s="1"/>
  <c r="B6" i="11"/>
  <c r="C6" i="11" s="1"/>
  <c r="B5" i="11"/>
  <c r="C5" i="11" s="1"/>
  <c r="C4" i="11"/>
  <c r="B11" i="10" l="1"/>
  <c r="C11" i="10" s="1"/>
  <c r="B10" i="10"/>
  <c r="C10" i="10" s="1"/>
  <c r="B9" i="10"/>
  <c r="C9" i="10" s="1"/>
  <c r="B8" i="10"/>
  <c r="C8" i="10" s="1"/>
  <c r="B7" i="10"/>
  <c r="C7" i="10" s="1"/>
  <c r="B6" i="10"/>
  <c r="C6" i="10" s="1"/>
  <c r="B5" i="10"/>
  <c r="C5" i="10" s="1"/>
  <c r="C4" i="10"/>
  <c r="O8" i="1" l="1"/>
  <c r="O9" i="1"/>
  <c r="O10" i="1"/>
  <c r="O11" i="1"/>
  <c r="M8" i="1"/>
  <c r="M9" i="1"/>
  <c r="M10" i="1"/>
  <c r="M11" i="1"/>
  <c r="K8" i="1"/>
  <c r="K9" i="1"/>
  <c r="K10" i="1"/>
  <c r="K11" i="1"/>
  <c r="I8" i="1"/>
  <c r="I9" i="1"/>
  <c r="I10" i="1"/>
  <c r="I11" i="1"/>
  <c r="G8" i="1"/>
  <c r="G9" i="1"/>
  <c r="G10" i="1"/>
  <c r="G11" i="1"/>
  <c r="AJ11" i="1" l="1"/>
  <c r="AI11" i="1"/>
  <c r="V11" i="1"/>
  <c r="Q11" i="1"/>
  <c r="T11" i="1"/>
  <c r="AG11" i="1"/>
  <c r="R11" i="1"/>
  <c r="S11" i="1" s="1"/>
  <c r="AI10" i="1"/>
  <c r="AK10" i="1" s="1"/>
  <c r="AJ10" i="1"/>
  <c r="V10" i="1"/>
  <c r="Q10" i="1"/>
  <c r="T10" i="1"/>
  <c r="AG10" i="1"/>
  <c r="R10" i="1"/>
  <c r="S10" i="1" s="1"/>
  <c r="AJ9" i="1"/>
  <c r="AI9" i="1"/>
  <c r="AK9" i="1" s="1"/>
  <c r="R9" i="1"/>
  <c r="S9" i="1" s="1"/>
  <c r="V9" i="1"/>
  <c r="Q9" i="1"/>
  <c r="T9" i="1"/>
  <c r="AG9" i="1"/>
  <c r="AI8" i="1"/>
  <c r="AJ8" i="1"/>
  <c r="T8" i="1"/>
  <c r="AG8" i="1"/>
  <c r="V8" i="1"/>
  <c r="R8" i="1"/>
  <c r="S8" i="1" s="1"/>
  <c r="Q8" i="1"/>
  <c r="AK11" i="1"/>
  <c r="AK8" i="1"/>
  <c r="O6" i="6"/>
  <c r="O5" i="6"/>
  <c r="O4" i="6"/>
  <c r="M6" i="6"/>
  <c r="M5" i="6"/>
  <c r="M4" i="6"/>
  <c r="K6" i="6"/>
  <c r="K5" i="6"/>
  <c r="K4" i="6"/>
  <c r="I6" i="6"/>
  <c r="I5" i="6"/>
  <c r="I4" i="6"/>
  <c r="G6" i="6"/>
  <c r="G5" i="6"/>
  <c r="G4" i="6"/>
  <c r="O6" i="5"/>
  <c r="O5" i="5"/>
  <c r="O4" i="5"/>
  <c r="M6" i="5"/>
  <c r="M5" i="5"/>
  <c r="M4" i="5"/>
  <c r="K6" i="5"/>
  <c r="K5" i="5"/>
  <c r="K4" i="5"/>
  <c r="I6" i="5"/>
  <c r="I5" i="5"/>
  <c r="I4" i="5"/>
  <c r="G6" i="5"/>
  <c r="G5" i="5"/>
  <c r="G4" i="5"/>
  <c r="O6" i="4"/>
  <c r="O5" i="4"/>
  <c r="O4" i="4"/>
  <c r="M6" i="4"/>
  <c r="M5" i="4"/>
  <c r="M4" i="4"/>
  <c r="K6" i="4"/>
  <c r="K5" i="4"/>
  <c r="K4" i="4"/>
  <c r="I6" i="4"/>
  <c r="I5" i="4"/>
  <c r="I4" i="4"/>
  <c r="G6" i="4"/>
  <c r="G5" i="4"/>
  <c r="G4" i="4"/>
  <c r="O7" i="3"/>
  <c r="O6" i="3"/>
  <c r="O5" i="3"/>
  <c r="O4" i="3"/>
  <c r="M7" i="3"/>
  <c r="M6" i="3"/>
  <c r="M5" i="3"/>
  <c r="M4" i="3"/>
  <c r="K4" i="3"/>
  <c r="K7" i="3"/>
  <c r="K6" i="3"/>
  <c r="K5" i="3"/>
  <c r="I7" i="3"/>
  <c r="I6" i="3"/>
  <c r="I5" i="3"/>
  <c r="I4" i="3"/>
  <c r="G7" i="3"/>
  <c r="G6" i="3"/>
  <c r="G5" i="3"/>
  <c r="G4" i="3"/>
  <c r="O7" i="2"/>
  <c r="O6" i="2"/>
  <c r="O5" i="2"/>
  <c r="O4" i="2"/>
  <c r="M4" i="2"/>
  <c r="M7" i="2"/>
  <c r="M6" i="2"/>
  <c r="M5" i="2"/>
  <c r="K4" i="2"/>
  <c r="K7" i="2"/>
  <c r="K6" i="2"/>
  <c r="K5" i="2"/>
  <c r="I4" i="2"/>
  <c r="I7" i="2"/>
  <c r="I6" i="2"/>
  <c r="I5" i="2"/>
  <c r="G4" i="2"/>
  <c r="G7" i="2"/>
  <c r="G6" i="2"/>
  <c r="G5" i="2"/>
  <c r="O5" i="1"/>
  <c r="O6" i="1"/>
  <c r="O7" i="1"/>
  <c r="O4" i="1"/>
  <c r="M5" i="1"/>
  <c r="M6" i="1"/>
  <c r="M7" i="1"/>
  <c r="M4" i="1"/>
  <c r="K5" i="1"/>
  <c r="K6" i="1"/>
  <c r="K7" i="1"/>
  <c r="K4" i="1"/>
  <c r="I5" i="1"/>
  <c r="I6" i="1"/>
  <c r="I7" i="1"/>
  <c r="I4" i="1"/>
  <c r="G5" i="1"/>
  <c r="G6" i="1"/>
  <c r="G7" i="1"/>
  <c r="G4" i="1"/>
  <c r="AI4" i="6" l="1"/>
  <c r="AJ4" i="6"/>
  <c r="AG4" i="6"/>
  <c r="R4" i="6"/>
  <c r="S4" i="6" s="1"/>
  <c r="T4" i="6"/>
  <c r="Q4" i="6"/>
  <c r="V4" i="6"/>
  <c r="AJ7" i="1"/>
  <c r="AI7" i="1"/>
  <c r="R7" i="1"/>
  <c r="S7" i="1" s="1"/>
  <c r="V7" i="1"/>
  <c r="Q7" i="1"/>
  <c r="T7" i="1"/>
  <c r="AG7" i="1"/>
  <c r="R5" i="3"/>
  <c r="S5" i="3" s="1"/>
  <c r="Q5" i="3"/>
  <c r="AI7" i="2"/>
  <c r="AJ7" i="2"/>
  <c r="R7" i="2"/>
  <c r="S7" i="2" s="1"/>
  <c r="V7" i="2"/>
  <c r="Q7" i="2"/>
  <c r="AG7" i="2"/>
  <c r="T7" i="2"/>
  <c r="AI6" i="3"/>
  <c r="AJ6" i="3"/>
  <c r="AG6" i="3"/>
  <c r="Q6" i="3"/>
  <c r="T6" i="3"/>
  <c r="R6" i="3"/>
  <c r="S6" i="3" s="1"/>
  <c r="V6" i="3"/>
  <c r="AI4" i="5"/>
  <c r="AK4" i="5" s="1"/>
  <c r="AJ4" i="5"/>
  <c r="V4" i="5"/>
  <c r="Q4" i="5"/>
  <c r="T4" i="5"/>
  <c r="AG4" i="5"/>
  <c r="R4" i="5"/>
  <c r="S4" i="5" s="1"/>
  <c r="AJ5" i="1"/>
  <c r="AI5" i="1"/>
  <c r="AG5" i="1"/>
  <c r="T5" i="1"/>
  <c r="S5" i="1"/>
  <c r="V5" i="1"/>
  <c r="Q5" i="1"/>
  <c r="R5" i="1"/>
  <c r="AI4" i="2"/>
  <c r="AJ4" i="2"/>
  <c r="R4" i="2"/>
  <c r="S4" i="2" s="1"/>
  <c r="V4" i="2"/>
  <c r="Q4" i="2"/>
  <c r="T4" i="2"/>
  <c r="AG4" i="2"/>
  <c r="AI7" i="3"/>
  <c r="AJ7" i="3"/>
  <c r="V7" i="3"/>
  <c r="Q7" i="3"/>
  <c r="T7" i="3"/>
  <c r="AG7" i="3"/>
  <c r="R7" i="3"/>
  <c r="S7" i="3" s="1"/>
  <c r="AJ4" i="4"/>
  <c r="AI4" i="4"/>
  <c r="T4" i="4"/>
  <c r="R4" i="4"/>
  <c r="S4" i="4" s="1"/>
  <c r="AG4" i="4"/>
  <c r="V4" i="4"/>
  <c r="Q4" i="4"/>
  <c r="AJ5" i="5"/>
  <c r="AI5" i="5"/>
  <c r="AG5" i="5"/>
  <c r="Q5" i="5"/>
  <c r="V5" i="5"/>
  <c r="T5" i="5"/>
  <c r="R5" i="5"/>
  <c r="S5" i="5" s="1"/>
  <c r="AI6" i="6"/>
  <c r="AJ6" i="6"/>
  <c r="AG6" i="6"/>
  <c r="R6" i="6"/>
  <c r="S6" i="6" s="1"/>
  <c r="V6" i="6"/>
  <c r="T6" i="6"/>
  <c r="Q6" i="6"/>
  <c r="Q6" i="2"/>
  <c r="R6" i="2"/>
  <c r="S6" i="2" s="1"/>
  <c r="AJ6" i="4"/>
  <c r="AI6" i="4"/>
  <c r="T6" i="4"/>
  <c r="AG6" i="4"/>
  <c r="R6" i="4"/>
  <c r="S6" i="4" s="1"/>
  <c r="V6" i="4"/>
  <c r="Q6" i="4"/>
  <c r="AJ5" i="6"/>
  <c r="AI5" i="6"/>
  <c r="AK5" i="6" s="1"/>
  <c r="R5" i="6"/>
  <c r="S5" i="6" s="1"/>
  <c r="V5" i="6"/>
  <c r="Q5" i="6"/>
  <c r="AG5" i="6"/>
  <c r="T5" i="6"/>
  <c r="AJ4" i="1"/>
  <c r="AI4" i="1"/>
  <c r="AG4" i="1"/>
  <c r="Q5" i="2"/>
  <c r="R5" i="2"/>
  <c r="S5" i="2" s="1"/>
  <c r="R4" i="3"/>
  <c r="S4" i="3" s="1"/>
  <c r="Q4" i="3"/>
  <c r="AI5" i="4"/>
  <c r="AK5" i="4" s="1"/>
  <c r="AJ5" i="4"/>
  <c r="R5" i="4"/>
  <c r="S5" i="4" s="1"/>
  <c r="T5" i="4"/>
  <c r="Q5" i="4"/>
  <c r="AG5" i="4"/>
  <c r="V5" i="4"/>
  <c r="AI6" i="5"/>
  <c r="AK6" i="5" s="1"/>
  <c r="AJ6" i="5"/>
  <c r="V6" i="5"/>
  <c r="Q6" i="5"/>
  <c r="T6" i="5"/>
  <c r="AG6" i="5"/>
  <c r="R6" i="5"/>
  <c r="S6" i="5" s="1"/>
  <c r="T4" i="1"/>
  <c r="S4" i="1"/>
  <c r="R4" i="1"/>
  <c r="V4" i="1"/>
  <c r="Q4" i="1"/>
  <c r="AK6" i="4"/>
  <c r="AK4" i="4"/>
  <c r="AK7" i="2"/>
  <c r="AK4" i="2"/>
  <c r="AK6" i="6"/>
  <c r="AK7" i="1"/>
  <c r="B11" i="7"/>
  <c r="C11" i="7" s="1"/>
  <c r="B10" i="7"/>
  <c r="C10" i="7" s="1"/>
  <c r="B9" i="7"/>
  <c r="C9" i="7" s="1"/>
  <c r="B8" i="7"/>
  <c r="C8" i="7" s="1"/>
  <c r="B7" i="7"/>
  <c r="C7" i="7" s="1"/>
  <c r="B6" i="7"/>
  <c r="C6" i="7" s="1"/>
  <c r="B5" i="7"/>
  <c r="C5" i="7" s="1"/>
  <c r="C4" i="7"/>
  <c r="AK5" i="5" l="1"/>
  <c r="AK4" i="6"/>
  <c r="AK4" i="1"/>
  <c r="AK5" i="1"/>
  <c r="AK7" i="3"/>
  <c r="AK6" i="3"/>
  <c r="A8" i="6"/>
  <c r="A7" i="6"/>
  <c r="A6" i="6"/>
  <c r="A5" i="6"/>
  <c r="B8" i="6" l="1"/>
  <c r="C8" i="6" s="1"/>
  <c r="B7" i="6"/>
  <c r="C7" i="6" s="1"/>
  <c r="B6" i="6"/>
  <c r="C6" i="6" s="1"/>
  <c r="B5" i="6"/>
  <c r="C5" i="6" s="1"/>
  <c r="C4" i="6"/>
  <c r="B8" i="5" l="1"/>
  <c r="C8" i="5" s="1"/>
  <c r="B7" i="5"/>
  <c r="C7" i="5" s="1"/>
  <c r="B6" i="5"/>
  <c r="C6" i="5" s="1"/>
  <c r="B5" i="5"/>
  <c r="C5" i="5" s="1"/>
  <c r="C4" i="5"/>
  <c r="B8" i="4"/>
  <c r="C8" i="4" s="1"/>
  <c r="B7" i="4"/>
  <c r="C7" i="4" s="1"/>
  <c r="B6" i="4"/>
  <c r="C6" i="4" s="1"/>
  <c r="B5" i="4"/>
  <c r="C5" i="4" s="1"/>
  <c r="C4" i="4"/>
  <c r="B7" i="1"/>
  <c r="C7" i="1" s="1"/>
  <c r="B11" i="1"/>
  <c r="C11" i="1" s="1"/>
  <c r="B10" i="1"/>
  <c r="C10" i="1" s="1"/>
  <c r="B9" i="1"/>
  <c r="C9" i="1" s="1"/>
  <c r="B8" i="1"/>
  <c r="C8" i="1" s="1"/>
  <c r="B11" i="2"/>
  <c r="C11" i="2" s="1"/>
  <c r="B10" i="2"/>
  <c r="C10" i="2" s="1"/>
  <c r="B9" i="2"/>
  <c r="C9" i="2" s="1"/>
  <c r="B8" i="2"/>
  <c r="C8" i="2" s="1"/>
  <c r="B7" i="2"/>
  <c r="C7" i="2" s="1"/>
  <c r="B4" i="3"/>
  <c r="B7" i="3" s="1"/>
  <c r="C7" i="3" s="1"/>
  <c r="C4" i="1"/>
  <c r="B6" i="1"/>
  <c r="C6" i="1" s="1"/>
  <c r="B5" i="1"/>
  <c r="C5" i="1" s="1"/>
  <c r="C5" i="2"/>
  <c r="C6" i="2"/>
  <c r="C4" i="2"/>
  <c r="B6" i="3" l="1"/>
  <c r="C6" i="3" s="1"/>
  <c r="B8" i="3"/>
  <c r="C8" i="3" s="1"/>
  <c r="C4" i="3"/>
  <c r="B5" i="3"/>
  <c r="C5" i="3" s="1"/>
</calcChain>
</file>

<file path=xl/sharedStrings.xml><?xml version="1.0" encoding="utf-8"?>
<sst xmlns="http://schemas.openxmlformats.org/spreadsheetml/2006/main" count="1381" uniqueCount="350">
  <si>
    <t>Date</t>
  </si>
  <si>
    <t>Age (weeks)</t>
  </si>
  <si>
    <t>Time post-SHIV</t>
  </si>
  <si>
    <t>B cells</t>
  </si>
  <si>
    <t>pDC</t>
  </si>
  <si>
    <t>T cells</t>
  </si>
  <si>
    <t>CD4 Tcm %</t>
  </si>
  <si>
    <t>CD4 Tem %</t>
  </si>
  <si>
    <t>CD4 naïve %</t>
  </si>
  <si>
    <t>CD8 naïve %</t>
  </si>
  <si>
    <t>CD8 Tcm %</t>
  </si>
  <si>
    <t>CD8 Tem %</t>
  </si>
  <si>
    <t>CD4/CD8 ratio</t>
  </si>
  <si>
    <t>% HLA-DR+</t>
  </si>
  <si>
    <t>% CD69+</t>
  </si>
  <si>
    <t>% CD25+</t>
  </si>
  <si>
    <t>Among CD4 naïve</t>
  </si>
  <si>
    <t>Among CD4 Tcm</t>
  </si>
  <si>
    <t>Among CD4 Tem</t>
  </si>
  <si>
    <t>Among CD8 naïve</t>
  </si>
  <si>
    <t>Among CD8 Tcm</t>
  </si>
  <si>
    <t>Among CD8 Tem</t>
  </si>
  <si>
    <t>Panel 2: T cell activation</t>
  </si>
  <si>
    <t>Panel 2: T cell counts</t>
  </si>
  <si>
    <t>d0*</t>
  </si>
  <si>
    <t>d4*</t>
  </si>
  <si>
    <t>d10*</t>
  </si>
  <si>
    <t>Age (days)</t>
  </si>
  <si>
    <t>d0</t>
  </si>
  <si>
    <t>d4</t>
  </si>
  <si>
    <t>d10</t>
  </si>
  <si>
    <t>w4</t>
  </si>
  <si>
    <t>w6 Nx</t>
  </si>
  <si>
    <t>w4*</t>
  </si>
  <si>
    <t>w6*</t>
  </si>
  <si>
    <t>w8*</t>
  </si>
  <si>
    <t>w10*</t>
  </si>
  <si>
    <t>w12*</t>
  </si>
  <si>
    <t>gray italics = parent cell population was too small to quantify subset accurately</t>
  </si>
  <si>
    <t>red = CD8 and CD95 staining failed for this sample; I adjusted gates the best I could</t>
  </si>
  <si>
    <t>CD4 Abs count</t>
  </si>
  <si>
    <t>CD8 Abs count</t>
  </si>
  <si>
    <t>CBC</t>
  </si>
  <si>
    <t>WBC/ul blood</t>
  </si>
  <si>
    <t>% LYM</t>
  </si>
  <si>
    <t>% NEU</t>
  </si>
  <si>
    <t>% MON</t>
  </si>
  <si>
    <t>% EOS</t>
  </si>
  <si>
    <t>% BAS</t>
  </si>
  <si>
    <t>Abs NEU</t>
  </si>
  <si>
    <t>Abs LYM</t>
  </si>
  <si>
    <t>Abs MON</t>
  </si>
  <si>
    <t>Abs EOS</t>
  </si>
  <si>
    <t>Abs BAS</t>
  </si>
  <si>
    <t>NK cells</t>
  </si>
  <si>
    <t>Basophils</t>
  </si>
  <si>
    <t>CD20- CD3- HLA-DR- CD14- CD8- CD16- CD123+</t>
  </si>
  <si>
    <t>Definitions for cell subsets (Panel 1 Leuko):</t>
  </si>
  <si>
    <t>After gating on singlets, FSC/SSC, live CD45+</t>
  </si>
  <si>
    <t>Definitions for cell subsets (Panel 2 T cells):</t>
  </si>
  <si>
    <t>CD3+</t>
  </si>
  <si>
    <t>CD4+ T cells</t>
  </si>
  <si>
    <t>CD8+ T cells</t>
  </si>
  <si>
    <t>CD3+ CD4+ CD8-</t>
  </si>
  <si>
    <t>CD3+ CD4- CD8+</t>
  </si>
  <si>
    <t>Naïve</t>
  </si>
  <si>
    <t>Tcm</t>
  </si>
  <si>
    <t>Tem</t>
  </si>
  <si>
    <t>CD28+ CD95-/lo</t>
  </si>
  <si>
    <t>CD28+ CD95+</t>
  </si>
  <si>
    <t>CD28-/lo CD95+</t>
  </si>
  <si>
    <t>Within CD4+ or CD8+ T cells:</t>
  </si>
  <si>
    <t>Within CD4 or CD8 naïve, Tcm, Tem: gate individually on CD69+, CD25+, or HLA-DR+</t>
  </si>
  <si>
    <t>Abs T cells</t>
  </si>
  <si>
    <t>Abs CD4</t>
  </si>
  <si>
    <t>Abs CD8</t>
  </si>
  <si>
    <t>Abs PLT</t>
  </si>
  <si>
    <t xml:space="preserve">blue = CBCs were run on Haigwood lab coulter counter for this sample </t>
  </si>
  <si>
    <t>no value</t>
  </si>
  <si>
    <t>Abs B cells (including CD8+)</t>
  </si>
  <si>
    <t>w14*/d0</t>
  </si>
  <si>
    <t>w6</t>
  </si>
  <si>
    <t>w8</t>
  </si>
  <si>
    <t>w10</t>
  </si>
  <si>
    <t>Note: samples from 7/1 and thereafter were run on LSR2B with new green laser. Voltages were adjusted to fit the new configuration.</t>
  </si>
  <si>
    <t>w9 Nx</t>
  </si>
  <si>
    <t>WBC</t>
  </si>
  <si>
    <t>Normal ranges:</t>
  </si>
  <si>
    <t>NEU</t>
  </si>
  <si>
    <t>LYM</t>
  </si>
  <si>
    <t>MON</t>
  </si>
  <si>
    <t>EOS</t>
  </si>
  <si>
    <t>BAS</t>
  </si>
  <si>
    <t># x 10^3/ul</t>
  </si>
  <si>
    <t>% of WBC</t>
  </si>
  <si>
    <t>PLT</t>
  </si>
  <si>
    <t>CBC flag</t>
  </si>
  <si>
    <t># is &gt;18.0</t>
  </si>
  <si>
    <t># is &lt;1.0 or &gt;12.0</t>
  </si>
  <si>
    <t># is &gt;1.5 (except for acute SHIV/SIV)</t>
  </si>
  <si>
    <t># is &lt;70</t>
  </si>
  <si>
    <t>Abs pDC</t>
  </si>
  <si>
    <t>NKT cells</t>
  </si>
  <si>
    <t>CD3+ CD16+</t>
  </si>
  <si>
    <t>CD20dim NK cells?</t>
  </si>
  <si>
    <t>CD3- CD8+ CD20-</t>
  </si>
  <si>
    <t>CD3- CD8+ CD20dim</t>
  </si>
  <si>
    <t>classical monocytes</t>
  </si>
  <si>
    <t>intermediate monocytes</t>
  </si>
  <si>
    <t>nonclassical monocytes</t>
  </si>
  <si>
    <t>CD3- CD20+ CD8+/-</t>
  </si>
  <si>
    <t>CD3+ CD8+/-</t>
  </si>
  <si>
    <t>CD20- CD8- CD3- CD14+ CD16-</t>
  </si>
  <si>
    <t>CD20- CD8- CD3- CD14+ CD16+</t>
  </si>
  <si>
    <t>CD20- CD8- CD3- CD14- CD16+</t>
  </si>
  <si>
    <t>CD20- CD3- HLA-DR+ CD14- CD8- CD16- CD123+</t>
  </si>
  <si>
    <t>CD20- CD3- HLA-DR- CD14- CD8- CD16- CD123-</t>
  </si>
  <si>
    <t>immature myeloid cells?</t>
  </si>
  <si>
    <t>CD20- CD3- HLA-DR+ CD14- CD8- CD16- CD123-</t>
  </si>
  <si>
    <t>mDC?</t>
  </si>
  <si>
    <t>Abs NKT cells</t>
  </si>
  <si>
    <t>Abs CD20- NK cells</t>
  </si>
  <si>
    <t>% CD20- NK cells CD16+</t>
  </si>
  <si>
    <t>Abs CD20dim NK cells</t>
  </si>
  <si>
    <t>% CD20dim NK cells CD16+</t>
  </si>
  <si>
    <t>% Classical monocytes</t>
  </si>
  <si>
    <t>% Intermediate monocytes</t>
  </si>
  <si>
    <t>% nonclassical monocytes</t>
  </si>
  <si>
    <t>% classical CD11c+</t>
  </si>
  <si>
    <t>% intermediate CD11c+</t>
  </si>
  <si>
    <t>% nonclassical CD11c+</t>
  </si>
  <si>
    <t>CD8 failed</t>
  </si>
  <si>
    <t>red = CD8 and CD95 staining failed for this sample</t>
  </si>
  <si>
    <t>% classical HLA-DR+</t>
  </si>
  <si>
    <t>% intermediate HLA-DR+</t>
  </si>
  <si>
    <t>% nonclassical HLA-DR+</t>
  </si>
  <si>
    <t>no data</t>
  </si>
  <si>
    <t>T</t>
  </si>
  <si>
    <t>Plasma virus loads</t>
  </si>
  <si>
    <t>Area Under the Curve Data</t>
  </si>
  <si>
    <t>Newborns</t>
  </si>
  <si>
    <t>Time (Wk)</t>
  </si>
  <si>
    <t>37619</t>
  </si>
  <si>
    <t>37650</t>
  </si>
  <si>
    <t>Time (wk)</t>
  </si>
  <si>
    <t>38248</t>
  </si>
  <si>
    <t>38275</t>
  </si>
  <si>
    <t>38276</t>
  </si>
  <si>
    <t>38317</t>
  </si>
  <si>
    <t>Mean</t>
  </si>
  <si>
    <t>SEM</t>
  </si>
  <si>
    <t>Pre-bleed</t>
  </si>
  <si>
    <t>Day 4</t>
  </si>
  <si>
    <t>Day 7</t>
  </si>
  <si>
    <t>Day 10</t>
  </si>
  <si>
    <t>Day 14</t>
  </si>
  <si>
    <t>Wk 3</t>
  </si>
  <si>
    <t>Wk 3 Nx</t>
  </si>
  <si>
    <t>Wk 4</t>
  </si>
  <si>
    <t>Wk 5</t>
  </si>
  <si>
    <t>CSF/Nx</t>
  </si>
  <si>
    <t>W</t>
  </si>
  <si>
    <t>Infants</t>
  </si>
  <si>
    <t>38221</t>
  </si>
  <si>
    <t>38242</t>
  </si>
  <si>
    <t>38362</t>
  </si>
  <si>
    <t>38371</t>
  </si>
  <si>
    <t>38395</t>
  </si>
  <si>
    <t>38423</t>
  </si>
  <si>
    <t>Wk 6</t>
  </si>
  <si>
    <t>Wk 7</t>
  </si>
  <si>
    <t>Wk 8</t>
  </si>
  <si>
    <t>Wk 9</t>
  </si>
  <si>
    <t>Wk 10</t>
  </si>
  <si>
    <t>Copies/million cells</t>
  </si>
  <si>
    <t>Tonsil</t>
  </si>
  <si>
    <t>Submandibular LN</t>
  </si>
  <si>
    <t>Retropharyngeal LN</t>
  </si>
  <si>
    <t>Tracheobronchial LN</t>
  </si>
  <si>
    <t>Axillary LN</t>
  </si>
  <si>
    <t>Mixed Mesenteric LN</t>
  </si>
  <si>
    <t>Iliosacral LN</t>
  </si>
  <si>
    <t>Inguinal LN</t>
  </si>
  <si>
    <t>Spleen</t>
  </si>
  <si>
    <t>Duodenum</t>
  </si>
  <si>
    <t>Jejunum</t>
  </si>
  <si>
    <t>Ileum</t>
  </si>
  <si>
    <t>Cecum</t>
  </si>
  <si>
    <t>Colon Descending</t>
  </si>
  <si>
    <t>Rectum</t>
  </si>
  <si>
    <t>Day 7 LN biopsies</t>
  </si>
  <si>
    <t>Wk 6 LN biopsies</t>
  </si>
  <si>
    <t>Animal number</t>
  </si>
  <si>
    <t>Panel A</t>
  </si>
  <si>
    <t>HepB ELISA</t>
  </si>
  <si>
    <t>Weeks</t>
  </si>
  <si>
    <t>Aviremic</t>
  </si>
  <si>
    <t>37331</t>
  </si>
  <si>
    <t>37341</t>
  </si>
  <si>
    <t>37342</t>
  </si>
  <si>
    <t>37359</t>
  </si>
  <si>
    <t>37363</t>
  </si>
  <si>
    <t>37364</t>
  </si>
  <si>
    <t>Pre-bleed (Day 0*)</t>
  </si>
  <si>
    <t>Wk 14</t>
  </si>
  <si>
    <t>Wk 3*</t>
  </si>
  <si>
    <t>Wk 24</t>
  </si>
  <si>
    <t>Wk 6*</t>
  </si>
  <si>
    <t>Wk 11*</t>
  </si>
  <si>
    <t>Day 0</t>
  </si>
  <si>
    <t>Wk 9 Necropsy</t>
  </si>
  <si>
    <t>Wk 10 Necropsy</t>
  </si>
  <si>
    <t>Panel D</t>
  </si>
  <si>
    <t>SF162 gp140 Late Infection Binding Midpoint ELISA 50% titers</t>
  </si>
  <si>
    <t>SF162 gp140 Early Infection Binding Midpoint ELISA 50% titers</t>
  </si>
  <si>
    <t>Wk 2</t>
  </si>
  <si>
    <t>Newborns Gag</t>
  </si>
  <si>
    <t>37619 PBMC</t>
  </si>
  <si>
    <t>37619 LN</t>
  </si>
  <si>
    <t>37619 Spleen</t>
  </si>
  <si>
    <t>37650 PBMC</t>
  </si>
  <si>
    <t>37650 LN</t>
  </si>
  <si>
    <t>37650 Spleen</t>
  </si>
  <si>
    <t>38248 PBMC</t>
  </si>
  <si>
    <t>38248 LN</t>
  </si>
  <si>
    <t>38248 Spleen</t>
  </si>
  <si>
    <t>38275 PBMC</t>
  </si>
  <si>
    <t>38275 LN</t>
  </si>
  <si>
    <t>38275 Spleen</t>
  </si>
  <si>
    <t>38276 PBMC</t>
  </si>
  <si>
    <t>38276 LN</t>
  </si>
  <si>
    <t>38276 Spleen</t>
  </si>
  <si>
    <t>38317 PBMC</t>
  </si>
  <si>
    <t>38317 LN</t>
  </si>
  <si>
    <t>38317 Spleen</t>
  </si>
  <si>
    <t>ConA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</si>
  <si>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</si>
  <si>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</si>
  <si>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</si>
  <si>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</si>
  <si>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</si>
  <si>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</si>
  <si>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</si>
  <si>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</si>
  <si>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</si>
  <si>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</si>
  <si>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</si>
  <si>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</si>
  <si>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</si>
  <si>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ORF</t>
  </si>
  <si>
    <t>SEB</t>
  </si>
  <si>
    <t>Infants Gag</t>
  </si>
  <si>
    <t>38221 PBMC</t>
  </si>
  <si>
    <t>38221 LN</t>
  </si>
  <si>
    <t>38221 Spleen</t>
  </si>
  <si>
    <t>38242 PBMC</t>
  </si>
  <si>
    <t>38242 LN</t>
  </si>
  <si>
    <t>38242 Spleen</t>
  </si>
  <si>
    <t>38362 PBMC</t>
  </si>
  <si>
    <t>38362 LN</t>
  </si>
  <si>
    <t>38362 Spleen</t>
  </si>
  <si>
    <t>38371 PBMC</t>
  </si>
  <si>
    <t>38371 LN</t>
  </si>
  <si>
    <t>38371 Spleen</t>
  </si>
  <si>
    <t>38395 PBMC</t>
  </si>
  <si>
    <t>38395 LN</t>
  </si>
  <si>
    <t>38395 Spleen</t>
  </si>
  <si>
    <t>38423 PBMC</t>
  </si>
  <si>
    <t>38423 LN</t>
  </si>
  <si>
    <t>38423 Spleen</t>
  </si>
  <si>
    <t>Newborns Env</t>
  </si>
  <si>
    <t>N</t>
  </si>
  <si>
    <t>O</t>
  </si>
  <si>
    <t>P</t>
  </si>
  <si>
    <t>Q</t>
  </si>
  <si>
    <t>R</t>
  </si>
  <si>
    <t>S</t>
  </si>
  <si>
    <t>U</t>
  </si>
  <si>
    <t>Infants Env</t>
  </si>
  <si>
    <t>Figure 7</t>
  </si>
  <si>
    <t>Tissue data</t>
  </si>
  <si>
    <t>CD3%</t>
  </si>
  <si>
    <t>CD4%</t>
  </si>
  <si>
    <t>CD8%</t>
  </si>
  <si>
    <t>CD20%</t>
  </si>
  <si>
    <t>% CD4 Naïve</t>
  </si>
  <si>
    <t>% CD4 Central Memory</t>
  </si>
  <si>
    <t>%CD4 Effector Memory</t>
  </si>
  <si>
    <t>% CD8 Naïve</t>
  </si>
  <si>
    <t>% CD8 Central Memory</t>
  </si>
  <si>
    <t>% CD8 Effector Memory</t>
  </si>
  <si>
    <t>NKT Cells%</t>
  </si>
  <si>
    <t>CD3neg%</t>
  </si>
  <si>
    <t>NK Cells%</t>
  </si>
  <si>
    <t>%CD16neg NK Cells</t>
  </si>
  <si>
    <t>% CD16+ NK Cells</t>
  </si>
  <si>
    <t>% Classical Monocytes</t>
  </si>
  <si>
    <t>% Intermediate Monocytes</t>
  </si>
  <si>
    <t>% Nonclassical Monocytes</t>
  </si>
  <si>
    <t>% CD169+ Classical Monocytes</t>
  </si>
  <si>
    <t>% CD169+ Intermediate Monocytes</t>
  </si>
  <si>
    <t>% CD169+ Nonclassical Monocytes</t>
  </si>
  <si>
    <t>37619 Mes LN</t>
  </si>
  <si>
    <t>37650 Mes LN</t>
  </si>
  <si>
    <t>38248 Mes LN</t>
  </si>
  <si>
    <t>38275 Mes LN</t>
  </si>
  <si>
    <t>38276 Mes LN</t>
  </si>
  <si>
    <t>38317 Mes LN</t>
  </si>
  <si>
    <t>38221 Mes LN</t>
  </si>
  <si>
    <t>38242 Mes LN</t>
  </si>
  <si>
    <t>38362 Mes LN</t>
  </si>
  <si>
    <t>38371 Mes LN</t>
  </si>
  <si>
    <t>38395 Mes LN</t>
  </si>
  <si>
    <t>38423 Mes LN</t>
  </si>
  <si>
    <t>ANOVA summary</t>
  </si>
  <si>
    <t>P value</t>
  </si>
  <si>
    <t>&lt;0.0001</t>
  </si>
  <si>
    <t>P value summary</t>
  </si>
  <si>
    <t>****</t>
  </si>
  <si>
    <t>Significant diff. among means (P &lt; 0.05)?</t>
  </si>
  <si>
    <t>Yes</t>
  </si>
  <si>
    <t>R squared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</si>
  <si>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</si>
  <si>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</si>
  <si>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</si>
  <si>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</si>
  <si>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</si>
  <si>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</si>
  <si>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Newborns d7 vs. Infants d7</t>
  </si>
  <si>
    <t>-0.3565 to 0.7417</t>
  </si>
  <si>
    <t>No</t>
  </si>
  <si>
    <t>ns</t>
  </si>
  <si>
    <t>A-B</t>
  </si>
  <si>
    <t>Newborns d7 vs. Newborns w6</t>
  </si>
  <si>
    <t>-1.433 to -0.2047</t>
  </si>
  <si>
    <t>**</t>
  </si>
  <si>
    <t>A-C</t>
  </si>
  <si>
    <t>Newborns d7 vs. Infants w6</t>
  </si>
  <si>
    <t>-1.332 to -0.2340</t>
  </si>
  <si>
    <t>A-D</t>
  </si>
  <si>
    <t>Infants d7 vs. Newborns w6</t>
  </si>
  <si>
    <t>-1.625 to -0.3973</t>
  </si>
  <si>
    <t>B-C</t>
  </si>
  <si>
    <t>Infants d7 vs. Infants w6</t>
  </si>
  <si>
    <t>-1.525 to -0.4266</t>
  </si>
  <si>
    <t>***</t>
  </si>
  <si>
    <t>B-D</t>
  </si>
  <si>
    <t>Newborns w6 vs. Infants w6</t>
  </si>
  <si>
    <t>-0.5784 to 0.6495</t>
  </si>
  <si>
    <t>C-D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</si>
</sst>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"/>
    <numFmt numFmtId="165" formatCode="0.000"/>
  </numFmts>
  <fonts count="1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2"/>
      <color theme="0" tint="-0.34998626667073579"/>
      <name val="Calibri"/>
      <family val="2"/>
      <scheme val="minor"/>
    </font>
    <font>
      <sz val="7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4" fontId="0" fillId="0" borderId="0" xfId="0" applyNumberFormat="1"/>
    <xf numFmtId="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" fontId="1" fillId="0" borderId="0" xfId="0" applyNumberFormat="1" applyFont="1"/>
    <xf numFmtId="11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/>
    <xf numFmtId="1" fontId="0" fillId="0" borderId="1" xfId="0" applyNumberFormat="1" applyBorder="1"/>
    <xf numFmtId="2" fontId="0" fillId="0" borderId="0" xfId="0" applyNumberFormat="1"/>
    <xf numFmtId="14" fontId="2" fillId="0" borderId="0" xfId="0" applyNumberFormat="1" applyFont="1"/>
    <xf numFmtId="1" fontId="2" fillId="0" borderId="0" xfId="0" applyNumberFormat="1" applyFont="1"/>
    <xf numFmtId="0" fontId="7" fillId="0" borderId="0" xfId="0" applyFont="1"/>
    <xf numFmtId="1" fontId="7" fillId="0" borderId="0" xfId="0" applyNumberFormat="1" applyFont="1"/>
    <xf numFmtId="1" fontId="8" fillId="0" borderId="0" xfId="0" applyNumberFormat="1" applyFont="1"/>
    <xf numFmtId="0" fontId="9" fillId="0" borderId="0" xfId="0" applyFont="1"/>
    <xf numFmtId="0" fontId="10" fillId="0" borderId="0" xfId="0" applyFont="1"/>
    <xf numFmtId="164" fontId="0" fillId="0" borderId="0" xfId="0" applyNumberFormat="1"/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quotePrefix="1"/>
    <xf numFmtId="0" fontId="11" fillId="0" borderId="0" xfId="0" applyFont="1"/>
    <xf numFmtId="165" fontId="0" fillId="0" borderId="0" xfId="0" applyNumberFormat="1"/>
    <xf numFmtId="2" fontId="2" fillId="0" borderId="0" xfId="0" applyNumberFormat="1" applyFont="1"/>
    <xf numFmtId="165" fontId="2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1" fontId="14" fillId="0" borderId="0" xfId="0" applyNumberFormat="1" applyFont="1"/>
    <xf numFmtId="11" fontId="14" fillId="0" borderId="0" xfId="0" applyNumberFormat="1" applyFont="1" applyAlignment="1">
      <alignment horizontal="left"/>
    </xf>
    <xf numFmtId="0" fontId="15" fillId="0" borderId="0" xfId="0" applyFont="1"/>
    <xf numFmtId="165" fontId="14" fillId="0" borderId="2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165" fontId="14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" fontId="14" fillId="0" borderId="0" xfId="0" applyNumberFormat="1" applyFont="1"/>
    <xf numFmtId="0" fontId="14" fillId="0" borderId="0" xfId="0" applyFont="1"/>
    <xf numFmtId="0" fontId="14" fillId="0" borderId="5" xfId="0" applyFont="1" applyBorder="1" applyAlignment="1">
      <alignment horizontal="right"/>
    </xf>
    <xf numFmtId="0" fontId="0" fillId="0" borderId="0" xfId="0" applyAlignment="1">
      <alignment horizontal="right"/>
    </xf>
    <xf numFmtId="0" fontId="14" fillId="0" borderId="6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8" xfId="0" applyFont="1" applyBorder="1" applyAlignment="1">
      <alignment horizontal="right"/>
    </xf>
    <xf numFmtId="2" fontId="14" fillId="0" borderId="8" xfId="0" applyNumberFormat="1" applyFont="1" applyBorder="1" applyAlignment="1">
      <alignment horizontal="right"/>
    </xf>
    <xf numFmtId="1" fontId="14" fillId="0" borderId="8" xfId="0" applyNumberFormat="1" applyFont="1" applyBorder="1" applyAlignment="1">
      <alignment horizontal="right"/>
    </xf>
    <xf numFmtId="1" fontId="14" fillId="0" borderId="7" xfId="0" applyNumberFormat="1" applyFont="1" applyBorder="1" applyAlignment="1">
      <alignment horizontal="right"/>
    </xf>
    <xf numFmtId="0" fontId="14" fillId="0" borderId="9" xfId="0" applyFont="1" applyBorder="1" applyAlignment="1">
      <alignment horizontal="right"/>
    </xf>
    <xf numFmtId="1" fontId="14" fillId="0" borderId="10" xfId="0" applyNumberFormat="1" applyFont="1" applyBorder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4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114300</xdr:colOff>
      <xdr:row>49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45B8ED-DC27-9A41-90BD-FE802FAB8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8</xdr:col>
      <xdr:colOff>508000</xdr:colOff>
      <xdr:row>68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C348FB-8A7C-D445-A04D-4088B8A67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531100"/>
          <a:ext cx="7112000" cy="6985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15</xdr:col>
      <xdr:colOff>152400</xdr:colOff>
      <xdr:row>80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12F601-8125-B34D-A31B-0442BE167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88300" y="7531100"/>
          <a:ext cx="5930900" cy="939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22</xdr:col>
      <xdr:colOff>609600</xdr:colOff>
      <xdr:row>55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0D0A26-F431-6848-9FE9-A0E32C118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73300" y="7531100"/>
          <a:ext cx="6388100" cy="42926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011E-044A-F64F-B0A4-717D733D5BD9}">
  <dimension ref="A1:N33"/>
  <sheetViews>
    <sheetView workbookViewId="0">
      <selection activeCell="T26" sqref="T26"/>
    </sheetView>
  </sheetViews>
  <sheetFormatPr baseColWidth="10" defaultRowHeight="16" x14ac:dyDescent="0.2"/>
  <sheetData>
    <row r="1" spans="1:14" ht="21" x14ac:dyDescent="0.25">
      <c r="A1" s="32" t="s">
        <v>138</v>
      </c>
      <c r="M1" t="s">
        <v>139</v>
      </c>
    </row>
    <row r="2" spans="1:14" ht="21" x14ac:dyDescent="0.25">
      <c r="A2" s="32" t="s">
        <v>140</v>
      </c>
    </row>
    <row r="3" spans="1:14" x14ac:dyDescent="0.2">
      <c r="B3" s="9" t="s">
        <v>141</v>
      </c>
      <c r="C3" s="33" t="s">
        <v>142</v>
      </c>
      <c r="D3" s="33" t="s">
        <v>143</v>
      </c>
      <c r="E3" s="33"/>
      <c r="F3" s="9"/>
      <c r="G3" s="33" t="s">
        <v>144</v>
      </c>
      <c r="H3" s="33" t="s">
        <v>145</v>
      </c>
      <c r="I3" s="33" t="s">
        <v>146</v>
      </c>
      <c r="J3" s="33" t="s">
        <v>147</v>
      </c>
      <c r="K3" s="33" t="s">
        <v>148</v>
      </c>
      <c r="M3" s="33" t="s">
        <v>149</v>
      </c>
      <c r="N3" s="34" t="s">
        <v>150</v>
      </c>
    </row>
    <row r="4" spans="1:14" x14ac:dyDescent="0.2">
      <c r="A4" s="35" t="s">
        <v>151</v>
      </c>
      <c r="B4" s="36">
        <v>0</v>
      </c>
      <c r="C4" s="36">
        <v>50</v>
      </c>
      <c r="D4" s="36">
        <v>50</v>
      </c>
      <c r="E4" s="8"/>
      <c r="F4" s="37" t="s">
        <v>151</v>
      </c>
      <c r="G4" s="36">
        <v>0</v>
      </c>
      <c r="H4" s="36">
        <v>50</v>
      </c>
      <c r="I4" s="36">
        <v>50</v>
      </c>
      <c r="J4" s="36">
        <v>50</v>
      </c>
      <c r="K4" s="36">
        <v>50</v>
      </c>
      <c r="L4" s="8"/>
      <c r="M4" s="36">
        <v>106916808</v>
      </c>
      <c r="N4" s="36">
        <v>22704412</v>
      </c>
    </row>
    <row r="5" spans="1:14" x14ac:dyDescent="0.2">
      <c r="A5" s="35" t="s">
        <v>152</v>
      </c>
      <c r="B5" s="36">
        <v>0.57099999999999995</v>
      </c>
      <c r="C5" s="36">
        <v>259117.92480468701</v>
      </c>
      <c r="D5" s="36">
        <v>1917.5159454345701</v>
      </c>
      <c r="E5" s="8"/>
      <c r="F5" s="37" t="s">
        <v>153</v>
      </c>
      <c r="G5" s="36">
        <v>1</v>
      </c>
      <c r="H5" s="36">
        <v>9307790.625</v>
      </c>
      <c r="I5" s="36">
        <v>238652.16796875</v>
      </c>
      <c r="J5" s="36">
        <v>817953.896484375</v>
      </c>
      <c r="K5" s="36">
        <v>591966.50390625</v>
      </c>
      <c r="L5" s="8"/>
      <c r="M5" s="8"/>
      <c r="N5" s="8"/>
    </row>
    <row r="6" spans="1:14" x14ac:dyDescent="0.2">
      <c r="A6" s="35" t="s">
        <v>153</v>
      </c>
      <c r="B6" s="36">
        <v>1</v>
      </c>
      <c r="C6" s="36">
        <v>22012290.9375</v>
      </c>
      <c r="D6" s="36">
        <v>21361189.6875</v>
      </c>
      <c r="E6" s="8"/>
      <c r="F6" s="37" t="s">
        <v>154</v>
      </c>
      <c r="G6" s="36">
        <v>1.43</v>
      </c>
      <c r="H6" s="36">
        <v>106309518.75</v>
      </c>
      <c r="I6" s="36">
        <v>20109059.0625</v>
      </c>
      <c r="J6" s="36">
        <v>58908920.625</v>
      </c>
      <c r="K6" s="36">
        <v>3665766.5625</v>
      </c>
      <c r="L6" s="8"/>
      <c r="M6" s="8"/>
      <c r="N6" s="8"/>
    </row>
    <row r="7" spans="1:14" x14ac:dyDescent="0.2">
      <c r="A7" s="35" t="s">
        <v>155</v>
      </c>
      <c r="B7" s="36">
        <v>2</v>
      </c>
      <c r="C7" s="36">
        <v>19448972.8125</v>
      </c>
      <c r="D7" s="36">
        <v>20195143.125</v>
      </c>
      <c r="E7" s="8"/>
      <c r="F7" s="37" t="s">
        <v>155</v>
      </c>
      <c r="G7" s="36">
        <v>2</v>
      </c>
      <c r="H7" s="36">
        <v>14984095.3125</v>
      </c>
      <c r="I7" s="36">
        <v>15881393.90625</v>
      </c>
      <c r="J7" s="36">
        <v>31543658.4375</v>
      </c>
      <c r="K7" s="36">
        <v>9000112.1875</v>
      </c>
      <c r="L7" s="8"/>
      <c r="M7" s="8"/>
      <c r="N7" s="8"/>
    </row>
    <row r="8" spans="1:14" x14ac:dyDescent="0.2">
      <c r="A8" s="35" t="s">
        <v>156</v>
      </c>
      <c r="B8" s="36">
        <v>3</v>
      </c>
      <c r="C8" s="36">
        <v>4902049.6875</v>
      </c>
      <c r="D8" s="36">
        <v>13255362.1875</v>
      </c>
      <c r="E8" s="8"/>
      <c r="F8" s="37" t="s">
        <v>156</v>
      </c>
      <c r="G8" s="36">
        <v>3</v>
      </c>
      <c r="H8" s="36">
        <v>10023671.25</v>
      </c>
      <c r="I8" s="36">
        <v>2776446.4453125</v>
      </c>
      <c r="J8" s="36">
        <v>9799153.59375</v>
      </c>
      <c r="K8" s="36">
        <v>6301466.015625</v>
      </c>
      <c r="L8" s="8"/>
      <c r="M8" s="8"/>
      <c r="N8" s="8"/>
    </row>
    <row r="9" spans="1:14" x14ac:dyDescent="0.2">
      <c r="A9" s="35" t="s">
        <v>157</v>
      </c>
      <c r="B9" s="36">
        <v>3.57</v>
      </c>
      <c r="C9" s="36">
        <v>8560663.828125</v>
      </c>
      <c r="D9" s="36">
        <v>16882173.75</v>
      </c>
      <c r="E9" s="8"/>
      <c r="F9" s="37" t="s">
        <v>158</v>
      </c>
      <c r="G9" s="36">
        <v>4</v>
      </c>
      <c r="H9" s="36">
        <v>24471859.6875</v>
      </c>
      <c r="I9" s="36">
        <v>2316332.734375</v>
      </c>
      <c r="J9" s="36">
        <v>7321221.5625</v>
      </c>
      <c r="K9" s="36">
        <v>11448072.65625</v>
      </c>
      <c r="L9" s="8"/>
      <c r="M9" s="8"/>
      <c r="N9" s="8"/>
    </row>
    <row r="10" spans="1:14" x14ac:dyDescent="0.2">
      <c r="B10" s="8"/>
      <c r="C10" s="8"/>
      <c r="D10" s="8"/>
      <c r="E10" s="8"/>
      <c r="F10" s="37" t="s">
        <v>159</v>
      </c>
      <c r="G10" s="36">
        <v>5</v>
      </c>
      <c r="H10" s="36">
        <v>8215999.0625</v>
      </c>
      <c r="I10" s="36">
        <v>11201452.03125</v>
      </c>
      <c r="J10" s="36">
        <v>20500385.625</v>
      </c>
      <c r="K10" s="36">
        <v>34799591.25</v>
      </c>
      <c r="L10" s="8"/>
      <c r="M10" s="8"/>
      <c r="N10" s="8"/>
    </row>
    <row r="11" spans="1:14" x14ac:dyDescent="0.2">
      <c r="A11" s="35" t="s">
        <v>160</v>
      </c>
      <c r="B11" s="36">
        <v>3</v>
      </c>
      <c r="C11" s="36">
        <v>702.235546112061</v>
      </c>
      <c r="D11" s="36">
        <v>21949.2517089844</v>
      </c>
      <c r="E11" s="8"/>
      <c r="F11" s="37" t="s">
        <v>161</v>
      </c>
      <c r="G11" s="36">
        <v>5.57</v>
      </c>
      <c r="H11" s="36">
        <v>17763700.3125</v>
      </c>
      <c r="I11" s="36"/>
      <c r="J11" s="36"/>
      <c r="K11" s="36"/>
      <c r="L11" s="8"/>
      <c r="M11" s="8"/>
      <c r="N11" s="8"/>
    </row>
    <row r="12" spans="1:14" x14ac:dyDescent="0.2">
      <c r="B12" s="8"/>
      <c r="C12" s="8"/>
      <c r="D12" s="8"/>
      <c r="E12" s="8"/>
      <c r="F12" s="37"/>
      <c r="G12" s="36">
        <v>6</v>
      </c>
      <c r="H12" s="36"/>
      <c r="I12" s="36">
        <v>36500523.75</v>
      </c>
      <c r="J12" s="36">
        <v>61009001.25</v>
      </c>
      <c r="K12" s="36"/>
      <c r="L12" s="8"/>
      <c r="M12" s="8"/>
      <c r="N12" s="8"/>
    </row>
    <row r="13" spans="1:14" x14ac:dyDescent="0.2">
      <c r="B13" s="8"/>
      <c r="C13" s="8"/>
      <c r="D13" s="8"/>
      <c r="E13" s="8"/>
      <c r="F13" s="8"/>
      <c r="G13" s="36">
        <v>6.29</v>
      </c>
      <c r="H13" s="36"/>
      <c r="I13" s="36"/>
      <c r="J13" s="36"/>
      <c r="K13" s="36">
        <v>25548233.4375</v>
      </c>
      <c r="L13" s="8"/>
      <c r="M13" s="8"/>
      <c r="N13" s="8"/>
    </row>
    <row r="14" spans="1:14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">
      <c r="B15" s="8"/>
      <c r="C15" s="8"/>
      <c r="D15" s="8"/>
      <c r="E15" s="8"/>
      <c r="F15" s="37" t="s">
        <v>160</v>
      </c>
      <c r="G15" s="36">
        <v>5.57</v>
      </c>
      <c r="H15" s="36">
        <v>5175.4885864257803</v>
      </c>
      <c r="I15" s="36"/>
      <c r="J15" s="36"/>
      <c r="K15" s="36"/>
      <c r="L15" s="8"/>
      <c r="M15" s="8"/>
      <c r="N15" s="8"/>
    </row>
    <row r="16" spans="1:14" x14ac:dyDescent="0.2">
      <c r="B16" s="8"/>
      <c r="C16" s="8"/>
      <c r="D16" s="8"/>
      <c r="E16" s="8"/>
      <c r="F16" s="8"/>
      <c r="G16" s="36">
        <v>6</v>
      </c>
      <c r="H16" s="36"/>
      <c r="I16" s="36">
        <v>16802.023925781199</v>
      </c>
      <c r="J16" s="36">
        <v>46806.8408203125</v>
      </c>
      <c r="K16" s="36"/>
      <c r="L16" s="8"/>
      <c r="M16" s="8"/>
      <c r="N16" s="8"/>
    </row>
    <row r="17" spans="1:14" x14ac:dyDescent="0.2">
      <c r="B17" s="8"/>
      <c r="C17" s="8"/>
      <c r="D17" s="8"/>
      <c r="E17" s="8"/>
      <c r="F17" s="8"/>
      <c r="G17" s="36">
        <v>6.29</v>
      </c>
      <c r="H17" s="36"/>
      <c r="I17" s="36"/>
      <c r="J17" s="36"/>
      <c r="K17" s="36">
        <v>1932.9052734375</v>
      </c>
      <c r="L17" s="8"/>
      <c r="M17" s="8"/>
      <c r="N17" s="8"/>
    </row>
    <row r="18" spans="1:14" ht="21" x14ac:dyDescent="0.25">
      <c r="A18" s="32" t="s">
        <v>162</v>
      </c>
    </row>
    <row r="19" spans="1:14" x14ac:dyDescent="0.2">
      <c r="B19" t="s">
        <v>144</v>
      </c>
      <c r="C19" s="33" t="s">
        <v>163</v>
      </c>
      <c r="D19" s="33" t="s">
        <v>164</v>
      </c>
      <c r="E19" s="33" t="s">
        <v>165</v>
      </c>
      <c r="F19" s="33" t="s">
        <v>166</v>
      </c>
      <c r="G19" s="33" t="s">
        <v>167</v>
      </c>
      <c r="H19" s="33" t="s">
        <v>168</v>
      </c>
    </row>
    <row r="20" spans="1:14" x14ac:dyDescent="0.2">
      <c r="A20" s="35" t="s">
        <v>151</v>
      </c>
      <c r="B20" s="36">
        <v>0</v>
      </c>
      <c r="C20" s="36">
        <v>50</v>
      </c>
      <c r="D20" s="36">
        <v>50</v>
      </c>
      <c r="E20" s="36">
        <v>50</v>
      </c>
      <c r="F20" s="36">
        <v>50</v>
      </c>
      <c r="G20" s="36">
        <v>50</v>
      </c>
      <c r="H20" s="36">
        <v>50</v>
      </c>
      <c r="I20" s="8"/>
      <c r="J20" s="8"/>
      <c r="K20" s="8"/>
      <c r="L20" s="8"/>
      <c r="M20" s="36">
        <v>131263956</v>
      </c>
      <c r="N20" s="36">
        <v>42564046</v>
      </c>
    </row>
    <row r="21" spans="1:14" x14ac:dyDescent="0.2">
      <c r="A21" s="35" t="s">
        <v>153</v>
      </c>
      <c r="B21" s="36">
        <v>1</v>
      </c>
      <c r="C21" s="36">
        <v>738213.603515625</v>
      </c>
      <c r="D21" s="36">
        <v>9645771.5625</v>
      </c>
      <c r="E21" s="36">
        <v>474386.54296875</v>
      </c>
      <c r="F21" s="36">
        <v>534144.1796875</v>
      </c>
      <c r="G21" s="36">
        <v>7150885.9375</v>
      </c>
      <c r="H21" s="36">
        <v>646956.07421875</v>
      </c>
      <c r="I21" s="8"/>
      <c r="J21" s="8"/>
      <c r="K21" s="8"/>
      <c r="L21" s="8"/>
      <c r="M21" s="8"/>
      <c r="N21" s="8"/>
    </row>
    <row r="22" spans="1:14" x14ac:dyDescent="0.2">
      <c r="A22" s="35" t="s">
        <v>154</v>
      </c>
      <c r="B22" s="36">
        <v>1.43</v>
      </c>
      <c r="C22" s="36">
        <v>32829795</v>
      </c>
      <c r="D22" s="36">
        <v>209167425</v>
      </c>
      <c r="E22" s="36">
        <v>36787766.25</v>
      </c>
      <c r="F22" s="36">
        <v>45322652.5</v>
      </c>
      <c r="G22" s="36">
        <v>88895795</v>
      </c>
      <c r="H22" s="36">
        <v>27975093.75</v>
      </c>
      <c r="I22" s="8"/>
      <c r="J22" s="8"/>
      <c r="K22" s="8"/>
      <c r="L22" s="8"/>
      <c r="M22" s="8"/>
      <c r="N22" s="8"/>
    </row>
    <row r="23" spans="1:14" x14ac:dyDescent="0.2">
      <c r="A23" s="35" t="s">
        <v>155</v>
      </c>
      <c r="B23" s="36">
        <v>2</v>
      </c>
      <c r="C23" s="36">
        <v>26666134.6875</v>
      </c>
      <c r="D23" s="36">
        <v>26903804.0625</v>
      </c>
      <c r="E23" s="36">
        <v>7814240.3125</v>
      </c>
      <c r="F23" s="36">
        <v>12559938.125</v>
      </c>
      <c r="G23" s="36">
        <v>38004983.75</v>
      </c>
      <c r="H23" s="36">
        <v>17629310</v>
      </c>
      <c r="I23" s="8"/>
      <c r="J23" s="8"/>
      <c r="K23" s="8"/>
      <c r="L23" s="8"/>
      <c r="M23" s="8"/>
      <c r="N23" s="8"/>
    </row>
    <row r="24" spans="1:14" x14ac:dyDescent="0.2">
      <c r="A24" s="35" t="s">
        <v>156</v>
      </c>
      <c r="B24" s="36">
        <v>3</v>
      </c>
      <c r="C24" s="36">
        <v>11762650.78125</v>
      </c>
      <c r="D24" s="36">
        <v>2145593.984375</v>
      </c>
      <c r="E24" s="36">
        <v>6885187.1875</v>
      </c>
      <c r="F24" s="36">
        <v>3853778.125</v>
      </c>
      <c r="G24" s="36">
        <v>7904178.125</v>
      </c>
      <c r="H24" s="36">
        <v>3230421.71875</v>
      </c>
      <c r="I24" s="8"/>
      <c r="J24" s="8"/>
      <c r="K24" s="8"/>
      <c r="L24" s="8"/>
      <c r="M24" s="8"/>
      <c r="N24" s="8"/>
    </row>
    <row r="25" spans="1:14" x14ac:dyDescent="0.2">
      <c r="A25" s="35" t="s">
        <v>158</v>
      </c>
      <c r="B25" s="36">
        <v>4</v>
      </c>
      <c r="C25" s="36">
        <v>14817870.625</v>
      </c>
      <c r="D25" s="36">
        <v>8220324.375</v>
      </c>
      <c r="E25" s="36">
        <v>2110705.625</v>
      </c>
      <c r="F25" s="36">
        <v>11814459.375</v>
      </c>
      <c r="G25" s="36">
        <v>33483987.1875</v>
      </c>
      <c r="H25" s="36">
        <v>20029831.875</v>
      </c>
      <c r="I25" s="8"/>
      <c r="J25" s="8"/>
      <c r="K25" s="8"/>
      <c r="L25" s="8"/>
      <c r="M25" s="8"/>
      <c r="N25" s="8"/>
    </row>
    <row r="26" spans="1:14" x14ac:dyDescent="0.2">
      <c r="A26" s="35" t="s">
        <v>159</v>
      </c>
      <c r="B26" s="36">
        <v>5</v>
      </c>
      <c r="C26" s="36">
        <v>76651305</v>
      </c>
      <c r="D26" s="36">
        <v>8630729.53125</v>
      </c>
      <c r="E26" s="36">
        <v>11864387.8125</v>
      </c>
      <c r="F26" s="36">
        <v>17052175.3125</v>
      </c>
      <c r="G26" s="36">
        <v>64934075.625</v>
      </c>
      <c r="H26" s="36">
        <v>18860816.25</v>
      </c>
      <c r="I26" s="8"/>
      <c r="J26" s="8"/>
      <c r="K26" s="8"/>
      <c r="L26" s="8"/>
      <c r="M26" s="8"/>
      <c r="N26" s="8"/>
    </row>
    <row r="27" spans="1:14" x14ac:dyDescent="0.2">
      <c r="A27" s="35" t="s">
        <v>169</v>
      </c>
      <c r="B27" s="36">
        <v>6</v>
      </c>
      <c r="C27" s="36">
        <v>133704142.5</v>
      </c>
      <c r="D27" s="36">
        <v>6503925.234375</v>
      </c>
      <c r="E27" s="36">
        <v>8488613.90625</v>
      </c>
      <c r="F27" s="36">
        <v>18454284.375</v>
      </c>
      <c r="G27" s="36">
        <v>69608021.25</v>
      </c>
      <c r="H27" s="36">
        <v>18047985.9375</v>
      </c>
      <c r="I27" s="8"/>
      <c r="J27" s="8"/>
      <c r="K27" s="8"/>
      <c r="L27" s="8"/>
      <c r="M27" s="8"/>
      <c r="N27" s="8"/>
    </row>
    <row r="28" spans="1:14" x14ac:dyDescent="0.2">
      <c r="A28" s="35" t="s">
        <v>170</v>
      </c>
      <c r="B28" s="36">
        <v>7</v>
      </c>
      <c r="C28" s="36">
        <v>196807590</v>
      </c>
      <c r="D28" s="36">
        <v>2456370</v>
      </c>
      <c r="E28" s="36">
        <v>10620553.125</v>
      </c>
      <c r="F28" s="36">
        <v>20529766.875</v>
      </c>
      <c r="G28" s="36">
        <v>88632566.25</v>
      </c>
      <c r="H28" s="36">
        <v>18383861.25</v>
      </c>
      <c r="I28" s="8"/>
      <c r="J28" s="8"/>
      <c r="K28" s="8"/>
      <c r="L28" s="8"/>
      <c r="M28" s="8"/>
      <c r="N28" s="8"/>
    </row>
    <row r="29" spans="1:14" x14ac:dyDescent="0.2">
      <c r="A29" s="35" t="s">
        <v>171</v>
      </c>
      <c r="B29" s="36">
        <v>8</v>
      </c>
      <c r="C29" s="36">
        <v>132177922.5</v>
      </c>
      <c r="D29" s="36">
        <v>474027.71484375</v>
      </c>
      <c r="E29" s="36">
        <v>16358888.4375</v>
      </c>
      <c r="F29" s="36">
        <v>15292436.71875</v>
      </c>
      <c r="G29" s="36">
        <v>66931020</v>
      </c>
      <c r="H29" s="36">
        <v>21167557.5</v>
      </c>
      <c r="I29" s="8"/>
      <c r="J29" s="8"/>
      <c r="K29" s="8"/>
      <c r="L29" s="8"/>
      <c r="M29" s="8"/>
      <c r="N29" s="8"/>
    </row>
    <row r="30" spans="1:14" x14ac:dyDescent="0.2">
      <c r="A30" s="35" t="s">
        <v>172</v>
      </c>
      <c r="B30" s="36">
        <v>9</v>
      </c>
      <c r="C30" s="36">
        <v>41689681.25</v>
      </c>
      <c r="D30" s="36">
        <v>551428.6328125</v>
      </c>
      <c r="E30" s="36">
        <v>15891481.40625</v>
      </c>
      <c r="F30" s="36">
        <v>24174442.5</v>
      </c>
      <c r="G30" s="36">
        <v>50017179.375</v>
      </c>
      <c r="H30" s="36">
        <v>22924957.5</v>
      </c>
      <c r="I30" s="8"/>
      <c r="J30" s="8"/>
      <c r="K30" s="8"/>
      <c r="L30" s="8"/>
      <c r="M30" s="8"/>
      <c r="N30" s="8"/>
    </row>
    <row r="31" spans="1:14" x14ac:dyDescent="0.2">
      <c r="A31" s="35" t="s">
        <v>173</v>
      </c>
      <c r="B31" s="36">
        <v>10</v>
      </c>
      <c r="C31" s="36"/>
      <c r="D31" s="36">
        <v>315964.23828125</v>
      </c>
      <c r="E31" s="36">
        <v>13364997.1875</v>
      </c>
      <c r="F31" s="36">
        <v>24788012.8125</v>
      </c>
      <c r="G31" s="36">
        <v>82181647.5</v>
      </c>
      <c r="H31" s="36">
        <v>34169405.625</v>
      </c>
      <c r="I31" s="8"/>
      <c r="J31" s="8"/>
      <c r="K31" s="8"/>
      <c r="L31" s="8"/>
      <c r="M31" s="8"/>
      <c r="N31" s="8"/>
    </row>
    <row r="32" spans="1:14" x14ac:dyDescent="0.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s="35" t="s">
        <v>160</v>
      </c>
      <c r="B33" s="8"/>
      <c r="C33" s="8">
        <v>15759.199829101601</v>
      </c>
      <c r="D33" s="36">
        <v>9633.0349731445294</v>
      </c>
      <c r="E33" s="36">
        <v>3097.3817443847702</v>
      </c>
      <c r="F33" s="36">
        <v>904.11884307861305</v>
      </c>
      <c r="G33" s="36">
        <v>5497.6126098632803</v>
      </c>
      <c r="H33" s="36">
        <v>9566.0638427734393</v>
      </c>
      <c r="I33" s="8"/>
      <c r="J33" s="8"/>
      <c r="K33" s="8"/>
      <c r="L33" s="8"/>
      <c r="M33" s="8"/>
      <c r="N3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06C9-F759-DB40-BFD9-5DE2D6DCB507}">
  <dimension ref="A1:N43"/>
  <sheetViews>
    <sheetView tabSelected="1" workbookViewId="0">
      <selection activeCell="R37" sqref="R37"/>
    </sheetView>
  </sheetViews>
  <sheetFormatPr baseColWidth="10" defaultRowHeight="16" x14ac:dyDescent="0.2"/>
  <cols>
    <col min="1" max="1" width="22.33203125" customWidth="1"/>
    <col min="8" max="8" width="29.33203125" customWidth="1"/>
    <col min="9" max="9" width="12.6640625" customWidth="1"/>
    <col min="10" max="10" width="17.33203125" customWidth="1"/>
    <col min="13" max="13" width="12.33203125" customWidth="1"/>
  </cols>
  <sheetData>
    <row r="1" spans="1:14" x14ac:dyDescent="0.2">
      <c r="A1" s="38" t="s">
        <v>140</v>
      </c>
      <c r="I1" s="38" t="s">
        <v>162</v>
      </c>
    </row>
    <row r="2" spans="1:14" x14ac:dyDescent="0.2">
      <c r="A2" s="38" t="s">
        <v>174</v>
      </c>
      <c r="B2" s="39" t="s">
        <v>142</v>
      </c>
      <c r="C2" s="40" t="s">
        <v>143</v>
      </c>
      <c r="D2" s="40" t="s">
        <v>145</v>
      </c>
      <c r="E2" s="40" t="s">
        <v>146</v>
      </c>
      <c r="F2" s="40" t="s">
        <v>147</v>
      </c>
      <c r="G2" s="41" t="s">
        <v>148</v>
      </c>
      <c r="I2" s="42" t="s">
        <v>163</v>
      </c>
      <c r="J2" s="43" t="s">
        <v>164</v>
      </c>
      <c r="K2" s="43" t="s">
        <v>165</v>
      </c>
      <c r="L2" s="43" t="s">
        <v>166</v>
      </c>
      <c r="M2" s="43" t="s">
        <v>167</v>
      </c>
      <c r="N2" s="44" t="s">
        <v>168</v>
      </c>
    </row>
    <row r="3" spans="1:14" x14ac:dyDescent="0.2">
      <c r="A3" s="35" t="s">
        <v>175</v>
      </c>
      <c r="B3" s="45">
        <v>6588.7</v>
      </c>
      <c r="C3" s="45">
        <v>2952.5</v>
      </c>
      <c r="D3" s="45">
        <v>2672.46</v>
      </c>
      <c r="E3" s="45">
        <v>2015.93</v>
      </c>
      <c r="F3" s="45">
        <v>2357.19</v>
      </c>
      <c r="G3" s="45">
        <v>1752.59</v>
      </c>
      <c r="I3" s="46">
        <v>720</v>
      </c>
      <c r="J3" s="46">
        <v>1200</v>
      </c>
      <c r="K3" s="46">
        <v>4200</v>
      </c>
      <c r="L3" s="46">
        <v>130</v>
      </c>
      <c r="M3" s="46">
        <v>1100</v>
      </c>
      <c r="N3" s="46"/>
    </row>
    <row r="4" spans="1:14" x14ac:dyDescent="0.2">
      <c r="A4" s="35" t="s">
        <v>176</v>
      </c>
      <c r="B4" s="45">
        <v>5699.59</v>
      </c>
      <c r="C4" s="45">
        <v>12287.62</v>
      </c>
      <c r="D4" s="45">
        <v>12611.42</v>
      </c>
      <c r="E4" s="45">
        <v>15100.33</v>
      </c>
      <c r="F4" s="45">
        <v>10042.540000000001</v>
      </c>
      <c r="G4" s="45">
        <v>15778.39</v>
      </c>
      <c r="I4" s="46">
        <v>9400</v>
      </c>
      <c r="J4" s="46">
        <v>1100</v>
      </c>
      <c r="K4" s="46">
        <v>5200</v>
      </c>
      <c r="L4" s="46">
        <v>5200</v>
      </c>
      <c r="M4" s="46">
        <v>6200</v>
      </c>
      <c r="N4" s="46">
        <v>18000</v>
      </c>
    </row>
    <row r="5" spans="1:14" x14ac:dyDescent="0.2">
      <c r="A5" s="35" t="s">
        <v>177</v>
      </c>
      <c r="B5" s="45">
        <v>10029.16</v>
      </c>
      <c r="C5" s="45">
        <v>15411.85</v>
      </c>
      <c r="D5" s="45">
        <v>15510.29</v>
      </c>
      <c r="E5" s="45">
        <v>8305.8700000000008</v>
      </c>
      <c r="F5" s="45">
        <v>4194.0600000000004</v>
      </c>
      <c r="G5" s="45">
        <v>21678.79</v>
      </c>
      <c r="I5" s="46">
        <v>2400</v>
      </c>
      <c r="J5" s="46">
        <v>2100</v>
      </c>
      <c r="K5" s="46">
        <v>8800</v>
      </c>
      <c r="L5" s="46">
        <v>7300</v>
      </c>
      <c r="M5" s="46">
        <v>8600</v>
      </c>
      <c r="N5" s="46">
        <v>8000</v>
      </c>
    </row>
    <row r="6" spans="1:14" x14ac:dyDescent="0.2">
      <c r="A6" s="35" t="s">
        <v>178</v>
      </c>
      <c r="B6" s="45">
        <v>1376.14</v>
      </c>
      <c r="C6" s="45">
        <v>4914.51</v>
      </c>
      <c r="D6" s="45">
        <v>14740.79</v>
      </c>
      <c r="E6" s="45">
        <v>843.36</v>
      </c>
      <c r="F6" s="45">
        <v>11928.75</v>
      </c>
      <c r="G6" s="45">
        <v>609.59</v>
      </c>
      <c r="I6" s="46">
        <v>8600</v>
      </c>
      <c r="J6" s="46">
        <v>1100</v>
      </c>
      <c r="K6" s="46">
        <v>9000</v>
      </c>
      <c r="L6" s="46">
        <v>8200</v>
      </c>
      <c r="M6" s="46">
        <v>8200</v>
      </c>
      <c r="N6" s="46">
        <v>5500</v>
      </c>
    </row>
    <row r="7" spans="1:14" x14ac:dyDescent="0.2">
      <c r="A7" s="35" t="s">
        <v>179</v>
      </c>
      <c r="B7" s="45">
        <v>4321.41</v>
      </c>
      <c r="C7" s="45">
        <v>8843.56</v>
      </c>
      <c r="D7" s="45">
        <v>12579.48</v>
      </c>
      <c r="E7" s="45">
        <v>11378.31</v>
      </c>
      <c r="F7" s="45">
        <v>10017.52</v>
      </c>
      <c r="G7" s="45">
        <v>8143.44</v>
      </c>
      <c r="I7" s="46">
        <v>11000</v>
      </c>
      <c r="J7" s="46">
        <v>680</v>
      </c>
      <c r="K7" s="46">
        <v>4700</v>
      </c>
      <c r="L7" s="46">
        <v>3400</v>
      </c>
      <c r="M7" s="46">
        <v>4100</v>
      </c>
      <c r="N7" s="46">
        <v>4900</v>
      </c>
    </row>
    <row r="8" spans="1:14" x14ac:dyDescent="0.2">
      <c r="A8" s="35" t="s">
        <v>180</v>
      </c>
      <c r="B8" s="45">
        <v>13366.76</v>
      </c>
      <c r="C8" s="45">
        <v>19575.349999999999</v>
      </c>
      <c r="D8" s="45">
        <v>13819.57</v>
      </c>
      <c r="E8" s="45">
        <v>11559.18</v>
      </c>
      <c r="F8" s="45">
        <v>11429.47</v>
      </c>
      <c r="G8" s="45">
        <v>18730.28</v>
      </c>
      <c r="I8" s="46">
        <v>9700</v>
      </c>
      <c r="J8" s="46">
        <v>1400</v>
      </c>
      <c r="K8" s="46">
        <v>10000</v>
      </c>
      <c r="L8" s="46">
        <v>5600</v>
      </c>
      <c r="M8" s="46">
        <v>7700</v>
      </c>
      <c r="N8" s="46">
        <v>7100</v>
      </c>
    </row>
    <row r="9" spans="1:14" x14ac:dyDescent="0.2">
      <c r="A9" s="35" t="s">
        <v>181</v>
      </c>
      <c r="B9" s="45">
        <v>6083.07</v>
      </c>
      <c r="C9" s="45">
        <v>9690.56</v>
      </c>
      <c r="D9" s="45">
        <v>21715.59</v>
      </c>
      <c r="E9" s="45">
        <v>9435.86</v>
      </c>
      <c r="F9" s="45">
        <v>9940.81</v>
      </c>
      <c r="G9" s="45">
        <v>9831.09</v>
      </c>
      <c r="I9" s="46">
        <v>8800</v>
      </c>
      <c r="J9" s="46">
        <v>1100</v>
      </c>
      <c r="K9" s="46">
        <v>4200</v>
      </c>
      <c r="L9" s="46">
        <v>3600</v>
      </c>
      <c r="M9" s="46">
        <v>7900</v>
      </c>
      <c r="N9" s="46">
        <v>1800</v>
      </c>
    </row>
    <row r="10" spans="1:14" x14ac:dyDescent="0.2">
      <c r="A10" s="35" t="s">
        <v>182</v>
      </c>
      <c r="B10" s="45">
        <v>5752.95</v>
      </c>
      <c r="C10" s="45">
        <v>10026.5</v>
      </c>
      <c r="D10" s="45">
        <v>15904.26</v>
      </c>
      <c r="E10" s="45">
        <v>13375.71</v>
      </c>
      <c r="F10" s="45">
        <v>11902.19</v>
      </c>
      <c r="G10" s="45">
        <v>12309.82</v>
      </c>
      <c r="I10" s="46">
        <v>9900</v>
      </c>
      <c r="J10" s="46">
        <v>1200</v>
      </c>
      <c r="K10" s="46">
        <v>5200</v>
      </c>
      <c r="L10" s="46">
        <v>3800</v>
      </c>
      <c r="M10" s="46">
        <v>5600</v>
      </c>
      <c r="N10" s="46">
        <v>4100</v>
      </c>
    </row>
    <row r="11" spans="1:14" x14ac:dyDescent="0.2">
      <c r="A11" s="35" t="s">
        <v>183</v>
      </c>
      <c r="B11" s="45">
        <v>2090.21</v>
      </c>
      <c r="C11" s="45">
        <v>2835.6</v>
      </c>
      <c r="D11" s="45">
        <v>6771.09</v>
      </c>
      <c r="E11" s="45">
        <v>3980.26</v>
      </c>
      <c r="F11" s="45">
        <v>4609.82</v>
      </c>
      <c r="G11" s="45">
        <v>4103.72</v>
      </c>
      <c r="I11" s="46">
        <v>7700</v>
      </c>
      <c r="J11" s="46">
        <v>310</v>
      </c>
      <c r="K11" s="46">
        <v>1700</v>
      </c>
      <c r="L11" s="46">
        <v>1200</v>
      </c>
      <c r="M11" s="46">
        <v>3400</v>
      </c>
      <c r="N11" s="46">
        <v>700</v>
      </c>
    </row>
    <row r="12" spans="1:14" x14ac:dyDescent="0.2">
      <c r="A12" s="35" t="s">
        <v>184</v>
      </c>
      <c r="B12" s="45">
        <v>2221.89</v>
      </c>
      <c r="C12" s="45">
        <v>3715.78</v>
      </c>
      <c r="D12" s="45">
        <v>307.89</v>
      </c>
      <c r="E12" s="45">
        <v>250.76</v>
      </c>
      <c r="F12" s="45">
        <v>342.19</v>
      </c>
      <c r="G12" s="45">
        <v>282.86</v>
      </c>
      <c r="I12" s="46">
        <v>850</v>
      </c>
      <c r="J12" s="46">
        <v>300</v>
      </c>
      <c r="K12" s="46">
        <v>1100</v>
      </c>
      <c r="L12" s="46">
        <v>860</v>
      </c>
      <c r="M12" s="46">
        <v>160</v>
      </c>
      <c r="N12" s="46">
        <v>1600</v>
      </c>
    </row>
    <row r="13" spans="1:14" x14ac:dyDescent="0.2">
      <c r="A13" s="35" t="s">
        <v>185</v>
      </c>
      <c r="B13" s="45">
        <v>1878</v>
      </c>
      <c r="C13" s="45">
        <v>405.45</v>
      </c>
      <c r="D13" s="45">
        <v>3500.97</v>
      </c>
      <c r="E13" s="45">
        <v>99</v>
      </c>
      <c r="F13" s="45">
        <v>123.68</v>
      </c>
      <c r="G13" s="45">
        <v>212.98</v>
      </c>
      <c r="I13" s="46">
        <v>690</v>
      </c>
      <c r="J13" s="46">
        <v>110</v>
      </c>
      <c r="K13" s="46">
        <v>140</v>
      </c>
      <c r="L13" s="46">
        <v>530</v>
      </c>
      <c r="M13" s="46">
        <v>64</v>
      </c>
      <c r="N13" s="46">
        <v>350</v>
      </c>
    </row>
    <row r="14" spans="1:14" x14ac:dyDescent="0.2">
      <c r="A14" s="35" t="s">
        <v>186</v>
      </c>
      <c r="B14" s="45">
        <v>1519.45</v>
      </c>
      <c r="C14" s="45">
        <v>2531.71</v>
      </c>
      <c r="D14" s="45">
        <v>1250.32</v>
      </c>
      <c r="E14" s="45">
        <v>1162.75</v>
      </c>
      <c r="F14" s="45">
        <v>1630.84</v>
      </c>
      <c r="G14" s="45">
        <v>371.64</v>
      </c>
      <c r="I14" s="46">
        <v>1300</v>
      </c>
      <c r="J14" s="46">
        <v>760</v>
      </c>
      <c r="K14" s="46">
        <v>1200</v>
      </c>
      <c r="L14" s="46">
        <v>810</v>
      </c>
      <c r="M14" s="46">
        <v>800</v>
      </c>
      <c r="N14" s="46">
        <v>790</v>
      </c>
    </row>
    <row r="15" spans="1:14" x14ac:dyDescent="0.2">
      <c r="A15" s="35" t="s">
        <v>187</v>
      </c>
      <c r="B15" s="45">
        <v>702.74</v>
      </c>
      <c r="C15" s="45">
        <v>1095.25</v>
      </c>
      <c r="D15" s="45">
        <v>1733.47</v>
      </c>
      <c r="E15" s="45">
        <v>580.07000000000005</v>
      </c>
      <c r="F15" s="45">
        <v>1913.08</v>
      </c>
      <c r="G15" s="45">
        <v>947.62</v>
      </c>
      <c r="I15" s="46">
        <v>410</v>
      </c>
      <c r="J15" s="46">
        <v>1000</v>
      </c>
      <c r="K15" s="46">
        <v>850</v>
      </c>
      <c r="L15" s="46">
        <v>610</v>
      </c>
      <c r="M15" s="46">
        <v>170</v>
      </c>
      <c r="N15" s="46">
        <v>250</v>
      </c>
    </row>
    <row r="16" spans="1:14" x14ac:dyDescent="0.2">
      <c r="A16" s="35" t="s">
        <v>188</v>
      </c>
      <c r="B16" s="45">
        <v>727.51</v>
      </c>
      <c r="C16" s="45">
        <v>769.2</v>
      </c>
      <c r="D16" s="45">
        <v>2255.42</v>
      </c>
      <c r="E16" s="45">
        <v>508.4</v>
      </c>
      <c r="F16" s="45">
        <v>1925.32</v>
      </c>
      <c r="G16" s="45">
        <v>1119.6199999999999</v>
      </c>
      <c r="I16" s="46">
        <v>570</v>
      </c>
      <c r="J16" s="46">
        <v>340</v>
      </c>
      <c r="K16" s="46">
        <v>1200</v>
      </c>
      <c r="L16" s="46"/>
      <c r="M16" s="46">
        <v>980</v>
      </c>
      <c r="N16" s="46">
        <v>890</v>
      </c>
    </row>
    <row r="17" spans="1:14" x14ac:dyDescent="0.2">
      <c r="A17" s="35" t="s">
        <v>189</v>
      </c>
      <c r="B17" s="45">
        <v>568.30999999999995</v>
      </c>
      <c r="C17" s="45">
        <v>786.35</v>
      </c>
      <c r="D17" s="45">
        <v>1144.8</v>
      </c>
      <c r="E17" s="45">
        <v>8679.1200000000008</v>
      </c>
      <c r="F17" s="45">
        <v>910.16</v>
      </c>
      <c r="G17" s="45">
        <v>2860.71</v>
      </c>
      <c r="I17" s="46">
        <v>430</v>
      </c>
      <c r="J17" s="46">
        <v>26</v>
      </c>
      <c r="K17" s="46">
        <v>1300</v>
      </c>
      <c r="L17" s="46">
        <v>440</v>
      </c>
      <c r="M17" s="46">
        <v>280</v>
      </c>
      <c r="N17" s="46">
        <v>500</v>
      </c>
    </row>
    <row r="21" spans="1:14" x14ac:dyDescent="0.2">
      <c r="A21" t="s">
        <v>190</v>
      </c>
      <c r="E21" t="s">
        <v>191</v>
      </c>
    </row>
    <row r="22" spans="1:14" x14ac:dyDescent="0.2">
      <c r="A22" t="s">
        <v>192</v>
      </c>
      <c r="B22" s="42" t="s">
        <v>140</v>
      </c>
      <c r="C22" s="44" t="s">
        <v>162</v>
      </c>
      <c r="E22" s="42" t="s">
        <v>140</v>
      </c>
      <c r="F22" s="44" t="s">
        <v>162</v>
      </c>
    </row>
    <row r="23" spans="1:14" x14ac:dyDescent="0.2">
      <c r="A23" s="35">
        <v>37619</v>
      </c>
      <c r="B23" s="45">
        <v>24886.1865234375</v>
      </c>
      <c r="C23" s="47"/>
      <c r="D23" s="48"/>
      <c r="E23" s="49"/>
      <c r="F23" s="47"/>
    </row>
    <row r="24" spans="1:14" x14ac:dyDescent="0.2">
      <c r="A24" s="35">
        <v>37650</v>
      </c>
      <c r="B24" s="45">
        <v>13390.6142578125</v>
      </c>
      <c r="C24" s="50"/>
      <c r="D24" s="48"/>
      <c r="E24" s="51"/>
      <c r="F24" s="50"/>
    </row>
    <row r="25" spans="1:14" x14ac:dyDescent="0.2">
      <c r="A25" s="35">
        <v>38248</v>
      </c>
      <c r="B25" s="52">
        <v>58725.976600000002</v>
      </c>
      <c r="C25" s="50"/>
      <c r="D25" s="48"/>
      <c r="E25" s="53">
        <v>103377.69</v>
      </c>
      <c r="F25" s="50"/>
    </row>
    <row r="26" spans="1:14" x14ac:dyDescent="0.2">
      <c r="A26" s="35">
        <v>38275</v>
      </c>
      <c r="B26" s="52">
        <v>4091.8241899999998</v>
      </c>
      <c r="C26" s="50"/>
      <c r="D26" s="48"/>
      <c r="E26" s="53">
        <v>86942.115000000005</v>
      </c>
      <c r="F26" s="50"/>
    </row>
    <row r="27" spans="1:14" x14ac:dyDescent="0.2">
      <c r="A27" s="35">
        <v>38276</v>
      </c>
      <c r="B27" s="52">
        <v>5434.0390799999996</v>
      </c>
      <c r="C27" s="50"/>
      <c r="D27" s="48"/>
      <c r="E27" s="53">
        <v>77364.235000000001</v>
      </c>
      <c r="F27" s="50"/>
    </row>
    <row r="28" spans="1:14" x14ac:dyDescent="0.2">
      <c r="A28" s="35">
        <v>38317</v>
      </c>
      <c r="B28" s="52">
        <v>11687.1119</v>
      </c>
      <c r="C28" s="50"/>
      <c r="D28" s="48"/>
      <c r="E28" s="53">
        <v>80013.83</v>
      </c>
      <c r="F28" s="50"/>
    </row>
    <row r="29" spans="1:14" x14ac:dyDescent="0.2">
      <c r="A29" s="35">
        <v>38221</v>
      </c>
      <c r="B29" s="51"/>
      <c r="C29" s="54">
        <v>3209.88013</v>
      </c>
      <c r="D29" s="48"/>
      <c r="E29" s="51"/>
      <c r="F29" s="54">
        <v>164915.02299999999</v>
      </c>
    </row>
    <row r="30" spans="1:14" x14ac:dyDescent="0.2">
      <c r="A30" s="35">
        <v>38242</v>
      </c>
      <c r="B30" s="51"/>
      <c r="C30" s="54">
        <v>10666.8094</v>
      </c>
      <c r="D30" s="48"/>
      <c r="E30" s="51"/>
      <c r="F30" s="54">
        <v>25928.3675</v>
      </c>
      <c r="J30" s="34"/>
      <c r="K30" s="34"/>
    </row>
    <row r="31" spans="1:14" x14ac:dyDescent="0.2">
      <c r="A31" s="35">
        <v>38362</v>
      </c>
      <c r="B31" s="51"/>
      <c r="C31" s="54">
        <v>3455.0949599999999</v>
      </c>
      <c r="D31" s="48"/>
      <c r="E31" s="51"/>
      <c r="F31" s="54">
        <v>80555.823499999999</v>
      </c>
    </row>
    <row r="32" spans="1:14" x14ac:dyDescent="0.2">
      <c r="A32" s="35">
        <v>38371</v>
      </c>
      <c r="B32" s="51"/>
      <c r="C32" s="54">
        <v>28664.688999999998</v>
      </c>
      <c r="D32" s="48"/>
      <c r="E32" s="51"/>
      <c r="F32" s="54">
        <v>109105.493</v>
      </c>
    </row>
    <row r="33" spans="1:14" x14ac:dyDescent="0.2">
      <c r="A33" s="35">
        <v>38395</v>
      </c>
      <c r="B33" s="51"/>
      <c r="C33" s="54">
        <v>18344.061600000001</v>
      </c>
      <c r="D33" s="48"/>
      <c r="E33" s="51"/>
      <c r="F33" s="54">
        <v>92161.329100000003</v>
      </c>
    </row>
    <row r="34" spans="1:14" x14ac:dyDescent="0.2">
      <c r="A34" s="35">
        <v>38423</v>
      </c>
      <c r="B34" s="55"/>
      <c r="C34" s="56">
        <v>5714.2166900000002</v>
      </c>
      <c r="D34" s="48"/>
      <c r="E34" s="55"/>
      <c r="F34" s="56">
        <v>73353.417199999996</v>
      </c>
    </row>
    <row r="37" spans="1:14" ht="34" x14ac:dyDescent="0.2">
      <c r="A37" s="64" t="s">
        <v>314</v>
      </c>
      <c r="B37" s="46"/>
      <c r="H37" s="65" t="s">
        <v>322</v>
      </c>
      <c r="I37" s="46" t="s">
        <v>323</v>
      </c>
      <c r="J37" s="46" t="s">
        <v>324</v>
      </c>
      <c r="K37" s="46" t="s">
        <v>325</v>
      </c>
      <c r="L37" s="46" t="s">
        <v>326</v>
      </c>
      <c r="M37" s="66" t="s">
        <v>327</v>
      </c>
      <c r="N37" s="46"/>
    </row>
    <row r="38" spans="1:14" x14ac:dyDescent="0.2">
      <c r="A38" s="35" t="s">
        <v>241</v>
      </c>
      <c r="B38" s="63">
        <v>13.16</v>
      </c>
      <c r="H38" s="35" t="s">
        <v>328</v>
      </c>
      <c r="I38" s="46">
        <v>0.19259999999999999</v>
      </c>
      <c r="J38" s="46" t="s">
        <v>329</v>
      </c>
      <c r="K38" s="34" t="s">
        <v>330</v>
      </c>
      <c r="L38" s="34" t="s">
        <v>331</v>
      </c>
      <c r="M38" s="46">
        <v>0.75619999999999998</v>
      </c>
      <c r="N38" s="34" t="s">
        <v>332</v>
      </c>
    </row>
    <row r="39" spans="1:14" x14ac:dyDescent="0.2">
      <c r="A39" s="35" t="s">
        <v>315</v>
      </c>
      <c r="B39" s="63" t="s">
        <v>316</v>
      </c>
      <c r="H39" s="35" t="s">
        <v>333</v>
      </c>
      <c r="I39" s="46">
        <v>-0.81859999999999999</v>
      </c>
      <c r="J39" s="46" t="s">
        <v>334</v>
      </c>
      <c r="K39" s="34" t="s">
        <v>320</v>
      </c>
      <c r="L39" s="34" t="s">
        <v>335</v>
      </c>
      <c r="M39" s="67">
        <v>7.0000000000000001E-3</v>
      </c>
      <c r="N39" s="34" t="s">
        <v>336</v>
      </c>
    </row>
    <row r="40" spans="1:14" x14ac:dyDescent="0.2">
      <c r="A40" s="35" t="s">
        <v>317</v>
      </c>
      <c r="B40" s="63" t="s">
        <v>318</v>
      </c>
      <c r="H40" s="35" t="s">
        <v>337</v>
      </c>
      <c r="I40" s="46">
        <v>-0.78310000000000002</v>
      </c>
      <c r="J40" s="46" t="s">
        <v>338</v>
      </c>
      <c r="K40" s="34" t="s">
        <v>320</v>
      </c>
      <c r="L40" s="34" t="s">
        <v>335</v>
      </c>
      <c r="M40" s="67">
        <v>4.0000000000000001E-3</v>
      </c>
      <c r="N40" s="34" t="s">
        <v>339</v>
      </c>
    </row>
    <row r="41" spans="1:14" x14ac:dyDescent="0.2">
      <c r="A41" s="35" t="s">
        <v>319</v>
      </c>
      <c r="B41" s="63" t="s">
        <v>320</v>
      </c>
      <c r="H41" s="35" t="s">
        <v>340</v>
      </c>
      <c r="I41" s="46">
        <v>-1.0109999999999999</v>
      </c>
      <c r="J41" s="46" t="s">
        <v>341</v>
      </c>
      <c r="K41" s="34" t="s">
        <v>320</v>
      </c>
      <c r="L41" s="34" t="s">
        <v>335</v>
      </c>
      <c r="M41" s="67">
        <v>1E-3</v>
      </c>
      <c r="N41" s="34" t="s">
        <v>342</v>
      </c>
    </row>
    <row r="42" spans="1:14" x14ac:dyDescent="0.2">
      <c r="A42" s="35" t="s">
        <v>321</v>
      </c>
      <c r="B42" s="63">
        <v>0.68679999999999997</v>
      </c>
      <c r="H42" s="35" t="s">
        <v>343</v>
      </c>
      <c r="I42" s="46">
        <v>-0.97570000000000001</v>
      </c>
      <c r="J42" s="46" t="s">
        <v>344</v>
      </c>
      <c r="K42" s="34" t="s">
        <v>320</v>
      </c>
      <c r="L42" s="34" t="s">
        <v>345</v>
      </c>
      <c r="M42" s="67">
        <v>5.0000000000000001E-4</v>
      </c>
      <c r="N42" s="34" t="s">
        <v>346</v>
      </c>
    </row>
    <row r="43" spans="1:14" x14ac:dyDescent="0.2">
      <c r="H43" s="35" t="s">
        <v>347</v>
      </c>
      <c r="I43" s="46">
        <v>3.5520000000000003E-2</v>
      </c>
      <c r="J43" s="46" t="s">
        <v>348</v>
      </c>
      <c r="K43" s="34" t="s">
        <v>330</v>
      </c>
      <c r="L43" s="34" t="s">
        <v>331</v>
      </c>
      <c r="M43" s="46">
        <v>0.99839999999999995</v>
      </c>
      <c r="N43" s="34" t="s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E4685-BE1F-4546-A071-507D451F60AA}">
  <dimension ref="A1:AB28"/>
  <sheetViews>
    <sheetView workbookViewId="0">
      <selection activeCell="V31" sqref="V31"/>
    </sheetView>
  </sheetViews>
  <sheetFormatPr baseColWidth="10" defaultRowHeight="16" x14ac:dyDescent="0.2"/>
  <sheetData>
    <row r="1" spans="1:28" ht="18" x14ac:dyDescent="0.2">
      <c r="A1" s="57" t="s">
        <v>193</v>
      </c>
      <c r="K1" s="57" t="s">
        <v>193</v>
      </c>
      <c r="U1" s="57" t="s">
        <v>193</v>
      </c>
    </row>
    <row r="2" spans="1:28" ht="18" x14ac:dyDescent="0.2">
      <c r="A2" s="57" t="s">
        <v>194</v>
      </c>
      <c r="K2" s="57" t="s">
        <v>194</v>
      </c>
      <c r="U2" s="57" t="s">
        <v>194</v>
      </c>
    </row>
    <row r="4" spans="1:28" x14ac:dyDescent="0.2">
      <c r="A4" s="38" t="s">
        <v>140</v>
      </c>
      <c r="B4" s="34" t="s">
        <v>195</v>
      </c>
      <c r="C4" s="34" t="s">
        <v>142</v>
      </c>
      <c r="D4" s="34" t="s">
        <v>143</v>
      </c>
      <c r="E4" s="34" t="s">
        <v>145</v>
      </c>
      <c r="F4" s="34" t="s">
        <v>146</v>
      </c>
      <c r="G4" s="34" t="s">
        <v>147</v>
      </c>
      <c r="H4" s="34" t="s">
        <v>148</v>
      </c>
      <c r="K4" s="33" t="s">
        <v>162</v>
      </c>
      <c r="L4" t="s">
        <v>195</v>
      </c>
      <c r="M4" s="34" t="s">
        <v>163</v>
      </c>
      <c r="N4" s="34" t="s">
        <v>164</v>
      </c>
      <c r="O4" s="34" t="s">
        <v>165</v>
      </c>
      <c r="P4" s="34" t="s">
        <v>166</v>
      </c>
      <c r="Q4" s="34" t="s">
        <v>167</v>
      </c>
      <c r="R4" s="34" t="s">
        <v>168</v>
      </c>
      <c r="U4" s="33" t="s">
        <v>196</v>
      </c>
      <c r="V4" s="34" t="s">
        <v>195</v>
      </c>
      <c r="W4" s="34" t="s">
        <v>197</v>
      </c>
      <c r="X4" s="34" t="s">
        <v>198</v>
      </c>
      <c r="Y4" s="34" t="s">
        <v>199</v>
      </c>
      <c r="Z4" s="34" t="s">
        <v>200</v>
      </c>
      <c r="AA4" s="34" t="s">
        <v>201</v>
      </c>
      <c r="AB4" s="34" t="s">
        <v>202</v>
      </c>
    </row>
    <row r="5" spans="1:28" x14ac:dyDescent="0.2">
      <c r="B5" s="35" t="s">
        <v>151</v>
      </c>
      <c r="C5" s="46">
        <v>0</v>
      </c>
      <c r="D5" s="46">
        <v>10</v>
      </c>
      <c r="E5" s="46">
        <v>10</v>
      </c>
      <c r="F5" s="46">
        <v>10</v>
      </c>
      <c r="G5" s="46">
        <v>10</v>
      </c>
      <c r="H5" s="46">
        <v>10</v>
      </c>
      <c r="I5" s="46">
        <v>10</v>
      </c>
      <c r="K5" s="35" t="s">
        <v>203</v>
      </c>
      <c r="L5" s="46">
        <v>0</v>
      </c>
      <c r="M5" s="46">
        <v>0</v>
      </c>
      <c r="N5" s="46">
        <v>10</v>
      </c>
      <c r="O5" s="46">
        <v>10</v>
      </c>
      <c r="P5" s="46">
        <v>10</v>
      </c>
      <c r="Q5" s="46">
        <v>20</v>
      </c>
      <c r="R5" s="46">
        <v>10</v>
      </c>
      <c r="S5" s="46">
        <v>10</v>
      </c>
      <c r="U5" s="35" t="s">
        <v>204</v>
      </c>
      <c r="V5" s="46">
        <v>14</v>
      </c>
      <c r="W5" s="46">
        <v>600</v>
      </c>
      <c r="X5" s="46">
        <v>1670</v>
      </c>
      <c r="Y5" s="46">
        <v>3460</v>
      </c>
      <c r="Z5" s="46">
        <v>1430</v>
      </c>
      <c r="AA5" s="46">
        <v>4020</v>
      </c>
      <c r="AB5" s="46">
        <v>5140</v>
      </c>
    </row>
    <row r="6" spans="1:28" x14ac:dyDescent="0.2">
      <c r="B6" s="35" t="s">
        <v>156</v>
      </c>
      <c r="C6" s="46">
        <v>3</v>
      </c>
      <c r="D6" s="46">
        <v>220</v>
      </c>
      <c r="E6" s="46">
        <v>10</v>
      </c>
      <c r="F6" s="46"/>
      <c r="G6" s="46"/>
      <c r="H6" s="46"/>
      <c r="I6" s="46"/>
      <c r="K6" s="35" t="s">
        <v>205</v>
      </c>
      <c r="L6" s="46">
        <v>3</v>
      </c>
      <c r="M6" s="46">
        <v>3</v>
      </c>
      <c r="N6" s="46">
        <v>10</v>
      </c>
      <c r="O6" s="46">
        <v>20</v>
      </c>
      <c r="P6" s="46">
        <v>50</v>
      </c>
      <c r="Q6" s="46">
        <v>30</v>
      </c>
      <c r="R6" s="46">
        <v>290</v>
      </c>
      <c r="S6" s="46">
        <v>30</v>
      </c>
      <c r="U6" s="35" t="s">
        <v>206</v>
      </c>
      <c r="V6" s="46">
        <v>24</v>
      </c>
      <c r="W6" s="46">
        <v>40</v>
      </c>
      <c r="X6" s="46">
        <v>310</v>
      </c>
      <c r="Y6" s="46">
        <v>930</v>
      </c>
      <c r="Z6" s="46">
        <v>230</v>
      </c>
      <c r="AA6" s="46">
        <v>1180</v>
      </c>
      <c r="AB6" s="46">
        <v>1050</v>
      </c>
    </row>
    <row r="7" spans="1:28" x14ac:dyDescent="0.2">
      <c r="A7" s="35"/>
      <c r="B7" s="35" t="s">
        <v>169</v>
      </c>
      <c r="C7" s="46">
        <v>6</v>
      </c>
      <c r="D7" s="46"/>
      <c r="E7" s="46"/>
      <c r="F7" s="46">
        <v>10</v>
      </c>
      <c r="G7" s="46">
        <v>50</v>
      </c>
      <c r="H7" s="46">
        <v>10</v>
      </c>
      <c r="I7" s="46">
        <v>10</v>
      </c>
      <c r="K7" s="35" t="s">
        <v>207</v>
      </c>
      <c r="L7" s="46">
        <v>6</v>
      </c>
      <c r="M7" s="46">
        <v>6</v>
      </c>
      <c r="N7" s="46">
        <v>190</v>
      </c>
      <c r="O7" s="46">
        <v>70</v>
      </c>
      <c r="P7" s="46">
        <v>50</v>
      </c>
      <c r="Q7" s="46">
        <v>70</v>
      </c>
      <c r="R7" s="46">
        <v>520</v>
      </c>
      <c r="S7" s="46">
        <v>70</v>
      </c>
    </row>
    <row r="8" spans="1:28" x14ac:dyDescent="0.2">
      <c r="A8" s="35"/>
      <c r="K8" s="35" t="s">
        <v>208</v>
      </c>
      <c r="L8" s="46">
        <v>11</v>
      </c>
      <c r="M8" s="46">
        <v>11</v>
      </c>
      <c r="N8" s="46">
        <v>2230</v>
      </c>
      <c r="O8" s="46">
        <v>4000</v>
      </c>
      <c r="P8" s="46">
        <v>940</v>
      </c>
      <c r="Q8" s="46">
        <v>10130</v>
      </c>
      <c r="R8" s="46">
        <v>6340</v>
      </c>
      <c r="S8" s="46">
        <v>5200</v>
      </c>
    </row>
    <row r="9" spans="1:28" x14ac:dyDescent="0.2">
      <c r="K9" s="35" t="s">
        <v>209</v>
      </c>
      <c r="L9" s="46">
        <v>14</v>
      </c>
      <c r="M9" s="46">
        <v>14</v>
      </c>
      <c r="N9" s="46">
        <v>1460</v>
      </c>
      <c r="O9" s="46">
        <v>1950</v>
      </c>
      <c r="P9" s="46">
        <v>320</v>
      </c>
      <c r="Q9" s="46">
        <v>5710</v>
      </c>
      <c r="R9" s="46">
        <v>3730</v>
      </c>
      <c r="S9" s="46">
        <v>2560</v>
      </c>
    </row>
    <row r="10" spans="1:28" x14ac:dyDescent="0.2">
      <c r="K10" s="35" t="s">
        <v>210</v>
      </c>
      <c r="L10" s="46">
        <v>23</v>
      </c>
      <c r="M10" s="46">
        <v>23</v>
      </c>
      <c r="N10" s="46">
        <v>70</v>
      </c>
      <c r="O10" s="46"/>
      <c r="P10" s="46"/>
      <c r="Q10" s="46"/>
      <c r="R10" s="46"/>
      <c r="S10" s="46"/>
    </row>
    <row r="11" spans="1:28" x14ac:dyDescent="0.2">
      <c r="K11" s="35" t="s">
        <v>211</v>
      </c>
      <c r="L11" s="46">
        <v>24</v>
      </c>
      <c r="M11" s="46">
        <v>24</v>
      </c>
      <c r="N11" s="46"/>
      <c r="O11" s="46">
        <v>190</v>
      </c>
      <c r="P11" s="46">
        <v>60</v>
      </c>
      <c r="Q11" s="46">
        <v>1290</v>
      </c>
      <c r="R11" s="46">
        <v>1380</v>
      </c>
      <c r="S11" s="46">
        <v>900</v>
      </c>
    </row>
    <row r="12" spans="1:28" x14ac:dyDescent="0.2">
      <c r="K12" s="35"/>
    </row>
    <row r="13" spans="1:28" x14ac:dyDescent="0.2">
      <c r="K13" s="35"/>
    </row>
    <row r="16" spans="1:28" ht="18" x14ac:dyDescent="0.2">
      <c r="A16" s="58" t="s">
        <v>212</v>
      </c>
      <c r="K16" s="58" t="s">
        <v>213</v>
      </c>
    </row>
    <row r="17" spans="1:18" ht="18" x14ac:dyDescent="0.2">
      <c r="A17" s="58" t="s">
        <v>214</v>
      </c>
      <c r="K17" s="58" t="s">
        <v>212</v>
      </c>
    </row>
    <row r="19" spans="1:18" x14ac:dyDescent="0.2">
      <c r="A19" s="38" t="s">
        <v>140</v>
      </c>
      <c r="B19" s="34" t="s">
        <v>195</v>
      </c>
      <c r="C19" s="34" t="s">
        <v>142</v>
      </c>
      <c r="D19" s="34" t="s">
        <v>143</v>
      </c>
      <c r="E19" s="34" t="s">
        <v>145</v>
      </c>
      <c r="F19" s="34" t="s">
        <v>146</v>
      </c>
      <c r="G19" s="34" t="s">
        <v>147</v>
      </c>
      <c r="H19" s="34" t="s">
        <v>148</v>
      </c>
      <c r="K19" s="33" t="s">
        <v>162</v>
      </c>
      <c r="L19" t="s">
        <v>195</v>
      </c>
      <c r="M19" s="34" t="s">
        <v>163</v>
      </c>
      <c r="N19" s="34" t="s">
        <v>164</v>
      </c>
      <c r="O19" s="34" t="s">
        <v>165</v>
      </c>
      <c r="P19" s="34" t="s">
        <v>166</v>
      </c>
      <c r="Q19" s="34" t="s">
        <v>167</v>
      </c>
      <c r="R19" s="34" t="s">
        <v>168</v>
      </c>
    </row>
    <row r="20" spans="1:18" x14ac:dyDescent="0.2">
      <c r="A20" s="35" t="s">
        <v>151</v>
      </c>
      <c r="B20" s="46">
        <v>0</v>
      </c>
      <c r="C20" s="46">
        <v>10</v>
      </c>
      <c r="D20" s="46">
        <v>10</v>
      </c>
      <c r="E20" s="46">
        <v>10</v>
      </c>
      <c r="F20" s="46">
        <v>10</v>
      </c>
      <c r="G20" s="46">
        <v>10</v>
      </c>
      <c r="H20" s="46">
        <v>10</v>
      </c>
      <c r="K20" s="35" t="s">
        <v>151</v>
      </c>
      <c r="L20" s="46">
        <v>0</v>
      </c>
      <c r="M20" s="46">
        <v>10</v>
      </c>
      <c r="N20" s="46">
        <v>10</v>
      </c>
      <c r="O20" s="46">
        <v>10</v>
      </c>
      <c r="P20" s="46">
        <v>10</v>
      </c>
      <c r="Q20" s="46">
        <v>10</v>
      </c>
      <c r="R20" s="46">
        <v>10</v>
      </c>
    </row>
    <row r="21" spans="1:18" x14ac:dyDescent="0.2">
      <c r="A21" s="35" t="s">
        <v>215</v>
      </c>
      <c r="B21" s="46">
        <v>2</v>
      </c>
      <c r="C21" s="46">
        <v>10</v>
      </c>
      <c r="D21" s="46"/>
      <c r="E21" s="46"/>
      <c r="F21" s="46"/>
      <c r="G21" s="46"/>
      <c r="H21" s="46"/>
      <c r="K21" s="35" t="s">
        <v>156</v>
      </c>
      <c r="L21" s="46">
        <v>3</v>
      </c>
      <c r="M21" s="46">
        <v>10</v>
      </c>
      <c r="N21" s="46">
        <v>10</v>
      </c>
      <c r="O21" s="46">
        <v>10</v>
      </c>
      <c r="P21" s="46">
        <v>10</v>
      </c>
      <c r="Q21" s="46">
        <v>10</v>
      </c>
      <c r="R21" s="46">
        <v>10</v>
      </c>
    </row>
    <row r="22" spans="1:18" x14ac:dyDescent="0.2">
      <c r="A22" s="35" t="s">
        <v>156</v>
      </c>
      <c r="B22" s="46">
        <v>3</v>
      </c>
      <c r="C22" s="46">
        <v>460</v>
      </c>
      <c r="D22" s="46">
        <v>10</v>
      </c>
      <c r="E22" s="46">
        <v>10</v>
      </c>
      <c r="F22" s="46">
        <v>10</v>
      </c>
      <c r="G22" s="46">
        <v>10</v>
      </c>
      <c r="H22" s="46">
        <v>10</v>
      </c>
      <c r="K22" s="35" t="s">
        <v>158</v>
      </c>
      <c r="L22" s="46">
        <v>4</v>
      </c>
      <c r="M22" s="46"/>
      <c r="N22" s="46">
        <v>90</v>
      </c>
      <c r="O22" s="46"/>
      <c r="P22" s="46"/>
      <c r="Q22" s="46"/>
      <c r="R22" s="46">
        <v>80</v>
      </c>
    </row>
    <row r="23" spans="1:18" x14ac:dyDescent="0.2">
      <c r="A23" s="35" t="s">
        <v>169</v>
      </c>
      <c r="B23" s="46">
        <v>6</v>
      </c>
      <c r="C23" s="46"/>
      <c r="D23" s="46"/>
      <c r="E23" s="46">
        <v>10</v>
      </c>
      <c r="F23" s="46">
        <v>10</v>
      </c>
      <c r="G23" s="46">
        <v>20</v>
      </c>
      <c r="H23" s="46">
        <v>10</v>
      </c>
      <c r="K23" s="35" t="s">
        <v>159</v>
      </c>
      <c r="L23" s="46">
        <v>5</v>
      </c>
      <c r="M23" s="46"/>
      <c r="N23" s="46">
        <v>2260</v>
      </c>
      <c r="O23" s="46"/>
      <c r="P23" s="46"/>
      <c r="Q23" s="46"/>
      <c r="R23" s="46">
        <v>160</v>
      </c>
    </row>
    <row r="24" spans="1:18" x14ac:dyDescent="0.2">
      <c r="K24" s="35" t="s">
        <v>169</v>
      </c>
      <c r="L24" s="46">
        <v>6</v>
      </c>
      <c r="M24" s="46">
        <v>10</v>
      </c>
      <c r="N24" s="46">
        <v>5920</v>
      </c>
      <c r="O24" s="46">
        <v>10</v>
      </c>
      <c r="P24" s="46">
        <v>10</v>
      </c>
      <c r="Q24" s="46">
        <v>10</v>
      </c>
      <c r="R24" s="46">
        <v>370</v>
      </c>
    </row>
    <row r="25" spans="1:18" x14ac:dyDescent="0.2">
      <c r="K25" s="35" t="s">
        <v>170</v>
      </c>
      <c r="L25" s="46">
        <v>7</v>
      </c>
      <c r="M25" s="46"/>
      <c r="N25" s="46"/>
      <c r="O25" s="46"/>
      <c r="P25" s="46">
        <v>200</v>
      </c>
      <c r="Q25" s="46"/>
      <c r="R25" s="46"/>
    </row>
    <row r="26" spans="1:18" x14ac:dyDescent="0.2">
      <c r="K26" s="35" t="s">
        <v>171</v>
      </c>
      <c r="L26" s="46">
        <v>8</v>
      </c>
      <c r="M26" s="46"/>
      <c r="N26" s="46"/>
      <c r="O26" s="46"/>
      <c r="P26" s="46">
        <v>340</v>
      </c>
      <c r="Q26" s="46"/>
      <c r="R26" s="46"/>
    </row>
    <row r="27" spans="1:18" x14ac:dyDescent="0.2">
      <c r="K27" s="35" t="s">
        <v>172</v>
      </c>
      <c r="L27" s="46">
        <v>9</v>
      </c>
      <c r="M27" s="46">
        <v>10</v>
      </c>
      <c r="N27" s="46"/>
      <c r="O27" s="46"/>
      <c r="P27" s="46"/>
      <c r="Q27" s="46"/>
      <c r="R27" s="46"/>
    </row>
    <row r="28" spans="1:18" x14ac:dyDescent="0.2">
      <c r="K28" s="35" t="s">
        <v>173</v>
      </c>
      <c r="L28" s="46">
        <v>10</v>
      </c>
      <c r="M28" s="46"/>
      <c r="N28" s="46">
        <v>18800</v>
      </c>
      <c r="O28" s="46">
        <v>10</v>
      </c>
      <c r="P28" s="46">
        <v>340</v>
      </c>
      <c r="Q28" s="46">
        <v>10</v>
      </c>
      <c r="R28" s="46">
        <v>790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F4F8-A9C1-4145-AAAE-7E80C6036486}">
  <sheetPr>
    <tabColor theme="1"/>
    <pageSetUpPr fitToPage="1"/>
  </sheetPr>
  <dimension ref="A1:T22"/>
  <sheetViews>
    <sheetView workbookViewId="0">
      <selection activeCell="C17" sqref="C17"/>
    </sheetView>
  </sheetViews>
  <sheetFormatPr baseColWidth="10" defaultRowHeight="16" x14ac:dyDescent="0.2"/>
  <cols>
    <col min="1" max="1" width="18.83203125" bestFit="1" customWidth="1"/>
    <col min="2" max="2" width="18" bestFit="1" customWidth="1"/>
    <col min="3" max="3" width="42.83203125" bestFit="1" customWidth="1"/>
    <col min="12" max="12" width="15.5" bestFit="1" customWidth="1"/>
    <col min="14" max="14" width="11.83203125" bestFit="1" customWidth="1"/>
    <col min="15" max="15" width="11" bestFit="1" customWidth="1"/>
    <col min="16" max="16" width="17.6640625" bestFit="1" customWidth="1"/>
    <col min="19" max="19" width="20.6640625" bestFit="1" customWidth="1"/>
  </cols>
  <sheetData>
    <row r="1" spans="1:20" x14ac:dyDescent="0.2">
      <c r="A1" s="9" t="s">
        <v>57</v>
      </c>
      <c r="C1" s="2"/>
    </row>
    <row r="2" spans="1:20" x14ac:dyDescent="0.2">
      <c r="A2" s="11" t="s">
        <v>58</v>
      </c>
      <c r="C2" s="2"/>
      <c r="H2" s="26"/>
      <c r="I2" s="26"/>
      <c r="J2" s="26"/>
      <c r="K2" s="26"/>
      <c r="L2" s="26"/>
      <c r="S2" s="26"/>
      <c r="T2" s="26"/>
    </row>
    <row r="3" spans="1:20" x14ac:dyDescent="0.2">
      <c r="C3" s="2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</row>
    <row r="4" spans="1:20" x14ac:dyDescent="0.2">
      <c r="B4" s="12"/>
      <c r="C4" s="13" t="s">
        <v>110</v>
      </c>
      <c r="D4" s="12" t="s">
        <v>3</v>
      </c>
    </row>
    <row r="5" spans="1:20" x14ac:dyDescent="0.2">
      <c r="B5" s="12"/>
      <c r="C5" s="13" t="s">
        <v>111</v>
      </c>
      <c r="D5" s="12" t="s">
        <v>5</v>
      </c>
    </row>
    <row r="6" spans="1:20" x14ac:dyDescent="0.2">
      <c r="C6" s="2" t="s">
        <v>103</v>
      </c>
      <c r="D6" t="s">
        <v>102</v>
      </c>
    </row>
    <row r="7" spans="1:20" x14ac:dyDescent="0.2">
      <c r="B7" s="12"/>
      <c r="C7" s="13" t="s">
        <v>105</v>
      </c>
      <c r="D7" s="12" t="s">
        <v>54</v>
      </c>
      <c r="H7" s="27"/>
    </row>
    <row r="8" spans="1:20" x14ac:dyDescent="0.2">
      <c r="B8" s="12"/>
      <c r="C8" s="13" t="s">
        <v>106</v>
      </c>
      <c r="D8" s="12" t="s">
        <v>104</v>
      </c>
    </row>
    <row r="9" spans="1:20" x14ac:dyDescent="0.2">
      <c r="C9" s="2"/>
    </row>
    <row r="10" spans="1:20" x14ac:dyDescent="0.2">
      <c r="C10" s="2"/>
    </row>
    <row r="11" spans="1:20" x14ac:dyDescent="0.2">
      <c r="A11" s="12"/>
      <c r="B11" s="12"/>
      <c r="C11" s="13" t="s">
        <v>112</v>
      </c>
      <c r="D11" t="s">
        <v>107</v>
      </c>
    </row>
    <row r="12" spans="1:20" x14ac:dyDescent="0.2">
      <c r="A12" s="12"/>
      <c r="B12" s="12"/>
      <c r="C12" s="13" t="s">
        <v>113</v>
      </c>
      <c r="D12" t="s">
        <v>108</v>
      </c>
    </row>
    <row r="13" spans="1:20" x14ac:dyDescent="0.2">
      <c r="A13" s="12"/>
      <c r="B13" s="12"/>
      <c r="C13" s="13" t="s">
        <v>114</v>
      </c>
      <c r="D13" t="s">
        <v>109</v>
      </c>
    </row>
    <row r="14" spans="1:20" x14ac:dyDescent="0.2">
      <c r="C14" s="2"/>
    </row>
    <row r="15" spans="1:20" x14ac:dyDescent="0.2">
      <c r="A15" s="12"/>
      <c r="B15" s="12"/>
      <c r="C15" s="13"/>
    </row>
    <row r="16" spans="1:20" x14ac:dyDescent="0.2">
      <c r="A16" s="12"/>
      <c r="B16" s="12"/>
      <c r="C16" s="13" t="s">
        <v>56</v>
      </c>
      <c r="D16" t="s">
        <v>55</v>
      </c>
    </row>
    <row r="17" spans="1:4" x14ac:dyDescent="0.2">
      <c r="C17" s="13" t="s">
        <v>115</v>
      </c>
      <c r="D17" t="s">
        <v>4</v>
      </c>
    </row>
    <row r="18" spans="1:4" x14ac:dyDescent="0.2">
      <c r="A18" s="12"/>
      <c r="B18" s="12"/>
      <c r="C18" s="13" t="s">
        <v>118</v>
      </c>
      <c r="D18" t="s">
        <v>119</v>
      </c>
    </row>
    <row r="19" spans="1:4" x14ac:dyDescent="0.2">
      <c r="A19" s="12"/>
      <c r="B19" s="12"/>
      <c r="C19" s="13" t="s">
        <v>116</v>
      </c>
      <c r="D19" t="s">
        <v>117</v>
      </c>
    </row>
    <row r="20" spans="1:4" x14ac:dyDescent="0.2">
      <c r="A20" s="12"/>
      <c r="B20" s="12"/>
      <c r="C20" s="13"/>
    </row>
    <row r="21" spans="1:4" x14ac:dyDescent="0.2">
      <c r="C21" s="2"/>
    </row>
    <row r="22" spans="1:4" x14ac:dyDescent="0.2">
      <c r="A22" s="12"/>
      <c r="B22" s="12"/>
    </row>
  </sheetData>
  <pageMargins left="0.7" right="0.7" top="0.75" bottom="0.75" header="0.3" footer="0.3"/>
  <pageSetup orientation="portrait" horizontalDpi="0" verticalDpi="0"/>
  <cellWatches>
    <cellWatch r="B1"/>
    <cellWatch r="B3"/>
  </cellWatch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8DBC-B7CA-3B46-9A4A-2EA115C9350F}">
  <sheetPr>
    <tabColor theme="1"/>
  </sheetPr>
  <dimension ref="A1:C25"/>
  <sheetViews>
    <sheetView workbookViewId="0">
      <selection activeCell="B18" sqref="B18"/>
    </sheetView>
  </sheetViews>
  <sheetFormatPr baseColWidth="10" defaultRowHeight="16" x14ac:dyDescent="0.2"/>
  <cols>
    <col min="1" max="1" width="18.83203125" bestFit="1" customWidth="1"/>
    <col min="2" max="2" width="18" bestFit="1" customWidth="1"/>
    <col min="3" max="3" width="42.83203125" bestFit="1" customWidth="1"/>
  </cols>
  <sheetData>
    <row r="1" spans="1:3" x14ac:dyDescent="0.2">
      <c r="A1" s="9" t="s">
        <v>59</v>
      </c>
      <c r="C1" s="2"/>
    </row>
    <row r="2" spans="1:3" x14ac:dyDescent="0.2">
      <c r="A2" s="11" t="s">
        <v>58</v>
      </c>
      <c r="C2" s="2"/>
    </row>
    <row r="3" spans="1:3" x14ac:dyDescent="0.2">
      <c r="C3" s="2"/>
    </row>
    <row r="4" spans="1:3" x14ac:dyDescent="0.2">
      <c r="A4" s="12" t="s">
        <v>5</v>
      </c>
      <c r="B4" s="12"/>
      <c r="C4" s="13" t="s">
        <v>60</v>
      </c>
    </row>
    <row r="5" spans="1:3" x14ac:dyDescent="0.2">
      <c r="A5" s="12"/>
      <c r="B5" s="12" t="s">
        <v>61</v>
      </c>
      <c r="C5" s="13" t="s">
        <v>63</v>
      </c>
    </row>
    <row r="6" spans="1:3" x14ac:dyDescent="0.2">
      <c r="A6" s="12"/>
      <c r="B6" s="12" t="s">
        <v>62</v>
      </c>
      <c r="C6" s="13" t="s">
        <v>64</v>
      </c>
    </row>
    <row r="7" spans="1:3" x14ac:dyDescent="0.2">
      <c r="C7" s="2"/>
    </row>
    <row r="8" spans="1:3" x14ac:dyDescent="0.2">
      <c r="A8" s="12" t="s">
        <v>71</v>
      </c>
      <c r="B8" s="12"/>
      <c r="C8" s="13"/>
    </row>
    <row r="9" spans="1:3" x14ac:dyDescent="0.2">
      <c r="A9" s="12"/>
      <c r="B9" s="12" t="s">
        <v>65</v>
      </c>
      <c r="C9" s="13" t="s">
        <v>68</v>
      </c>
    </row>
    <row r="10" spans="1:3" x14ac:dyDescent="0.2">
      <c r="A10" s="12"/>
      <c r="B10" s="12" t="s">
        <v>66</v>
      </c>
      <c r="C10" s="13" t="s">
        <v>69</v>
      </c>
    </row>
    <row r="11" spans="1:3" x14ac:dyDescent="0.2">
      <c r="A11" s="12"/>
      <c r="B11" s="12" t="s">
        <v>67</v>
      </c>
      <c r="C11" s="13" t="s">
        <v>70</v>
      </c>
    </row>
    <row r="12" spans="1:3" x14ac:dyDescent="0.2">
      <c r="C12" s="2"/>
    </row>
    <row r="13" spans="1:3" x14ac:dyDescent="0.2">
      <c r="A13" t="s">
        <v>72</v>
      </c>
      <c r="C13" s="2"/>
    </row>
    <row r="14" spans="1:3" x14ac:dyDescent="0.2">
      <c r="C14" s="2"/>
    </row>
    <row r="15" spans="1:3" x14ac:dyDescent="0.2">
      <c r="C15" s="2"/>
    </row>
    <row r="16" spans="1:3" x14ac:dyDescent="0.2">
      <c r="C16" s="2"/>
    </row>
    <row r="17" spans="3:3" x14ac:dyDescent="0.2">
      <c r="C17" s="2"/>
    </row>
    <row r="18" spans="3:3" x14ac:dyDescent="0.2">
      <c r="C18" s="2"/>
    </row>
    <row r="19" spans="3:3" x14ac:dyDescent="0.2">
      <c r="C19" s="2"/>
    </row>
    <row r="20" spans="3:3" x14ac:dyDescent="0.2">
      <c r="C20" s="2"/>
    </row>
    <row r="21" spans="3:3" x14ac:dyDescent="0.2">
      <c r="C21" s="2"/>
    </row>
    <row r="22" spans="3:3" x14ac:dyDescent="0.2">
      <c r="C22" s="2"/>
    </row>
    <row r="23" spans="3:3" x14ac:dyDescent="0.2">
      <c r="C23" s="2"/>
    </row>
    <row r="24" spans="3:3" x14ac:dyDescent="0.2">
      <c r="C24" s="2"/>
    </row>
    <row r="25" spans="3:3" x14ac:dyDescent="0.2">
      <c r="C25" s="2"/>
    </row>
  </sheetData>
  <pageMargins left="0.7" right="0.7" top="0.75" bottom="0.75" header="0.3" footer="0.3"/>
  <pageSetup orientation="portrait" horizontalDpi="0" verticalDpi="0"/>
  <cellWatches>
    <cellWatch r="B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9244-9497-A347-A945-9F7E87F02521}">
  <dimension ref="K7:P16"/>
  <sheetViews>
    <sheetView topLeftCell="A4" workbookViewId="0">
      <selection activeCell="L21" sqref="L21"/>
    </sheetView>
  </sheetViews>
  <sheetFormatPr baseColWidth="10" defaultRowHeight="16" x14ac:dyDescent="0.2"/>
  <cols>
    <col min="16" max="16" width="31.33203125" bestFit="1" customWidth="1"/>
  </cols>
  <sheetData>
    <row r="7" spans="11:16" x14ac:dyDescent="0.2">
      <c r="K7" s="9" t="s">
        <v>87</v>
      </c>
      <c r="L7" s="9"/>
      <c r="M7" s="9"/>
      <c r="N7" s="9"/>
      <c r="O7" s="9"/>
      <c r="P7" s="9"/>
    </row>
    <row r="8" spans="11:16" x14ac:dyDescent="0.2">
      <c r="K8" s="9"/>
      <c r="L8" s="9"/>
      <c r="M8" s="9"/>
      <c r="N8" s="9"/>
      <c r="O8" s="9"/>
      <c r="P8" s="9"/>
    </row>
    <row r="9" spans="11:16" x14ac:dyDescent="0.2">
      <c r="K9" s="23"/>
      <c r="L9" s="61" t="s">
        <v>94</v>
      </c>
      <c r="M9" s="61"/>
      <c r="N9" s="61" t="s">
        <v>93</v>
      </c>
      <c r="O9" s="61"/>
      <c r="P9" s="24" t="s">
        <v>96</v>
      </c>
    </row>
    <row r="10" spans="11:16" x14ac:dyDescent="0.2">
      <c r="K10" s="23" t="s">
        <v>86</v>
      </c>
      <c r="L10" s="12"/>
      <c r="M10" s="12"/>
      <c r="N10" s="12">
        <v>4.2</v>
      </c>
      <c r="O10" s="12">
        <v>13.6</v>
      </c>
      <c r="P10" s="12" t="s">
        <v>97</v>
      </c>
    </row>
    <row r="11" spans="11:16" x14ac:dyDescent="0.2">
      <c r="K11" s="23" t="s">
        <v>88</v>
      </c>
      <c r="L11" s="12">
        <v>50</v>
      </c>
      <c r="M11" s="12">
        <v>79.7</v>
      </c>
      <c r="N11" s="12">
        <v>2.38</v>
      </c>
      <c r="O11" s="12">
        <v>9.61</v>
      </c>
      <c r="P11" s="12" t="s">
        <v>98</v>
      </c>
    </row>
    <row r="12" spans="11:16" x14ac:dyDescent="0.2">
      <c r="K12" s="23" t="s">
        <v>89</v>
      </c>
      <c r="L12" s="12">
        <v>14.9</v>
      </c>
      <c r="M12" s="12">
        <v>40.6</v>
      </c>
      <c r="N12" s="12">
        <v>1.1299999999999999</v>
      </c>
      <c r="O12" s="12">
        <v>3.77</v>
      </c>
      <c r="P12" s="12" t="s">
        <v>98</v>
      </c>
    </row>
    <row r="13" spans="11:16" x14ac:dyDescent="0.2">
      <c r="K13" s="23" t="s">
        <v>90</v>
      </c>
      <c r="L13" s="12">
        <v>2.7</v>
      </c>
      <c r="M13" s="12">
        <v>8.8000000000000007</v>
      </c>
      <c r="N13" s="12">
        <v>0.19</v>
      </c>
      <c r="O13" s="12">
        <v>0.92</v>
      </c>
      <c r="P13" s="12" t="s">
        <v>99</v>
      </c>
    </row>
    <row r="14" spans="11:16" x14ac:dyDescent="0.2">
      <c r="K14" s="23" t="s">
        <v>91</v>
      </c>
      <c r="L14" s="12">
        <v>0.6</v>
      </c>
      <c r="M14" s="12">
        <v>11</v>
      </c>
      <c r="N14" s="12">
        <v>0.04</v>
      </c>
      <c r="O14" s="12">
        <v>0.4</v>
      </c>
      <c r="P14" s="12"/>
    </row>
    <row r="15" spans="11:16" x14ac:dyDescent="0.2">
      <c r="K15" s="23" t="s">
        <v>92</v>
      </c>
      <c r="L15" s="12">
        <v>0.3</v>
      </c>
      <c r="M15" s="12">
        <v>0.9</v>
      </c>
      <c r="N15" s="12">
        <v>0.02</v>
      </c>
      <c r="O15" s="12">
        <v>0.1</v>
      </c>
      <c r="P15" s="12"/>
    </row>
    <row r="16" spans="11:16" x14ac:dyDescent="0.2">
      <c r="K16" s="23" t="s">
        <v>95</v>
      </c>
      <c r="L16" s="12"/>
      <c r="M16" s="12"/>
      <c r="N16" s="12">
        <v>119</v>
      </c>
      <c r="O16" s="12">
        <v>471</v>
      </c>
      <c r="P16" s="12" t="s">
        <v>100</v>
      </c>
    </row>
  </sheetData>
  <mergeCells count="2">
    <mergeCell ref="N9:O9"/>
    <mergeCell ref="L9:M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757CB-C1C6-E749-8D55-DDB0A7F41F8C}">
  <sheetPr>
    <tabColor rgb="FFFF0000"/>
  </sheetPr>
  <dimension ref="A1:BI21"/>
  <sheetViews>
    <sheetView workbookViewId="0">
      <pane xSplit="4" ySplit="2" topLeftCell="E3" activePane="bottomRight" state="frozen"/>
      <selection activeCell="AB8" sqref="AB8"/>
      <selection pane="topRight" activeCell="AB8" sqref="AB8"/>
      <selection pane="bottomLeft" activeCell="AB8" sqref="AB8"/>
      <selection pane="bottomRight" activeCell="K29" sqref="K29"/>
    </sheetView>
  </sheetViews>
  <sheetFormatPr baseColWidth="10" defaultRowHeight="16" x14ac:dyDescent="0.2"/>
  <cols>
    <col min="1" max="1" width="12.33203125" customWidth="1"/>
    <col min="2" max="2" width="9.83203125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20.332031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10">
        <v>38248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43553</v>
      </c>
      <c r="B4">
        <f>29-17</f>
        <v>12</v>
      </c>
      <c r="C4">
        <f>B4/7</f>
        <v>1.7142857142857142</v>
      </c>
      <c r="D4" t="s">
        <v>28</v>
      </c>
      <c r="E4">
        <v>10000</v>
      </c>
      <c r="F4">
        <v>50.6</v>
      </c>
      <c r="G4" s="2">
        <f>E4*(F4/100)</f>
        <v>5060</v>
      </c>
      <c r="H4">
        <v>42.6</v>
      </c>
      <c r="I4" s="2">
        <f>E4*(H4/100)</f>
        <v>4260</v>
      </c>
      <c r="J4">
        <v>5</v>
      </c>
      <c r="K4" s="2">
        <f>E4*(J4/100)</f>
        <v>500</v>
      </c>
      <c r="L4">
        <v>1</v>
      </c>
      <c r="M4" s="2">
        <f>E4*(L4/100)</f>
        <v>100</v>
      </c>
      <c r="N4">
        <v>0.8</v>
      </c>
      <c r="O4" s="2">
        <f>E4*(N4/100)</f>
        <v>80</v>
      </c>
      <c r="Q4">
        <f>(I4+K4)*(38.4/100)*(30.9/100)</f>
        <v>564.80256000000008</v>
      </c>
      <c r="R4">
        <f>(I4+K4)*(60.3/100)</f>
        <v>2870.2799999999997</v>
      </c>
      <c r="S4" s="3">
        <f>R4*(0.13/100)</f>
        <v>3.7313639999999997</v>
      </c>
      <c r="T4" s="4" t="s">
        <v>131</v>
      </c>
      <c r="U4" s="4" t="s">
        <v>131</v>
      </c>
      <c r="V4" s="4" t="s">
        <v>131</v>
      </c>
      <c r="W4" s="4" t="s">
        <v>131</v>
      </c>
      <c r="X4" s="4" t="s">
        <v>131</v>
      </c>
      <c r="Y4" s="4" t="s">
        <v>131</v>
      </c>
      <c r="Z4" s="4" t="s">
        <v>131</v>
      </c>
      <c r="AA4" s="4" t="s">
        <v>131</v>
      </c>
      <c r="AB4" s="4" t="s">
        <v>131</v>
      </c>
      <c r="AC4" s="4" t="s">
        <v>131</v>
      </c>
      <c r="AD4" s="4" t="s">
        <v>131</v>
      </c>
      <c r="AE4" s="4" t="s">
        <v>131</v>
      </c>
      <c r="AF4" s="4" t="s">
        <v>131</v>
      </c>
      <c r="AG4" s="4" t="s">
        <v>131</v>
      </c>
      <c r="AI4" s="4"/>
      <c r="AJ4" s="4"/>
      <c r="AK4" s="4"/>
      <c r="AO4" s="4"/>
      <c r="AP4" s="4"/>
      <c r="AQ4" s="4"/>
      <c r="AX4" s="5"/>
      <c r="AY4" s="5"/>
      <c r="AZ4" s="5"/>
      <c r="BA4" s="4"/>
      <c r="BB4" s="4"/>
      <c r="BC4" s="4"/>
      <c r="BD4" s="4"/>
      <c r="BE4" s="4"/>
      <c r="BF4" s="4"/>
      <c r="BG4" s="4"/>
      <c r="BH4" s="4"/>
      <c r="BI4" s="4"/>
    </row>
    <row r="5" spans="1:61" x14ac:dyDescent="0.2">
      <c r="A5" s="1">
        <v>43557</v>
      </c>
      <c r="B5">
        <f>B4+4</f>
        <v>16</v>
      </c>
      <c r="C5">
        <f t="shared" ref="C5:C8" si="0">B5/7</f>
        <v>2.2857142857142856</v>
      </c>
      <c r="D5" t="s">
        <v>29</v>
      </c>
      <c r="E5">
        <v>8300</v>
      </c>
      <c r="F5">
        <v>43.4</v>
      </c>
      <c r="G5" s="2">
        <f t="shared" ref="G5:G8" si="1">E5*(F5/100)</f>
        <v>3602.2</v>
      </c>
      <c r="H5">
        <v>49</v>
      </c>
      <c r="I5" s="2">
        <f t="shared" ref="I5:I8" si="2">E5*(H5/100)</f>
        <v>4067</v>
      </c>
      <c r="J5">
        <v>5.8</v>
      </c>
      <c r="K5" s="2">
        <f t="shared" ref="K5:K8" si="3">E5*(J5/100)</f>
        <v>481.4</v>
      </c>
      <c r="L5">
        <v>0.9</v>
      </c>
      <c r="M5" s="2">
        <f t="shared" ref="M5:M8" si="4">E5*(L5/100)</f>
        <v>74.7</v>
      </c>
      <c r="N5">
        <v>0.9</v>
      </c>
      <c r="O5" s="2">
        <f t="shared" ref="O5:O8" si="5">E5*(N5/100)</f>
        <v>74.7</v>
      </c>
      <c r="P5">
        <v>540</v>
      </c>
      <c r="Q5">
        <f>(I5+K5)*(47.9/100)*(39.5/100)</f>
        <v>860.58002199999999</v>
      </c>
      <c r="R5">
        <f>(I5+K5)*(50.3/100)</f>
        <v>2287.8451999999997</v>
      </c>
      <c r="S5" s="3">
        <f>R5*(0.16/100)</f>
        <v>3.6605523199999999</v>
      </c>
      <c r="T5" s="4" t="s">
        <v>131</v>
      </c>
      <c r="U5" s="4" t="s">
        <v>131</v>
      </c>
      <c r="V5" s="4" t="s">
        <v>131</v>
      </c>
      <c r="W5" s="4" t="s">
        <v>131</v>
      </c>
      <c r="X5" s="4" t="s">
        <v>131</v>
      </c>
      <c r="Y5" s="4" t="s">
        <v>131</v>
      </c>
      <c r="Z5" s="4" t="s">
        <v>131</v>
      </c>
      <c r="AA5" s="4" t="s">
        <v>131</v>
      </c>
      <c r="AB5" s="4" t="s">
        <v>131</v>
      </c>
      <c r="AC5" s="4" t="s">
        <v>131</v>
      </c>
      <c r="AD5" s="4" t="s">
        <v>131</v>
      </c>
      <c r="AE5" s="4" t="s">
        <v>131</v>
      </c>
      <c r="AF5" s="4" t="s">
        <v>131</v>
      </c>
      <c r="AG5" s="4" t="s">
        <v>131</v>
      </c>
      <c r="AH5" s="3"/>
      <c r="AI5" s="4"/>
      <c r="AJ5" s="4"/>
      <c r="AK5" s="4"/>
      <c r="AN5" s="8"/>
      <c r="AO5" s="4"/>
      <c r="AP5" s="4"/>
      <c r="AQ5" s="4"/>
      <c r="AX5" s="5"/>
      <c r="AY5" s="5"/>
      <c r="AZ5" s="5"/>
      <c r="BA5" s="4"/>
      <c r="BB5" s="4"/>
      <c r="BC5" s="4"/>
      <c r="BD5" s="4"/>
      <c r="BE5" s="4"/>
      <c r="BF5" s="4"/>
      <c r="BG5" s="4"/>
      <c r="BH5" s="4"/>
      <c r="BI5" s="4"/>
    </row>
    <row r="6" spans="1:61" x14ac:dyDescent="0.2">
      <c r="A6" s="1">
        <v>43563</v>
      </c>
      <c r="B6">
        <f>B4+10</f>
        <v>22</v>
      </c>
      <c r="C6">
        <f t="shared" si="0"/>
        <v>3.1428571428571428</v>
      </c>
      <c r="D6" t="s">
        <v>30</v>
      </c>
      <c r="E6" s="3">
        <v>4900</v>
      </c>
      <c r="F6" s="3">
        <v>23.6</v>
      </c>
      <c r="G6" s="2">
        <f t="shared" si="1"/>
        <v>1156.4000000000001</v>
      </c>
      <c r="H6" s="3">
        <v>66.599999999999994</v>
      </c>
      <c r="I6" s="2">
        <f t="shared" si="2"/>
        <v>3263.3999999999996</v>
      </c>
      <c r="J6" s="3">
        <v>5.7</v>
      </c>
      <c r="K6" s="2">
        <f t="shared" si="3"/>
        <v>279.3</v>
      </c>
      <c r="L6" s="3">
        <v>0.4</v>
      </c>
      <c r="M6" s="2">
        <f t="shared" si="4"/>
        <v>19.600000000000001</v>
      </c>
      <c r="N6" s="3">
        <v>0.7</v>
      </c>
      <c r="O6" s="2">
        <f t="shared" si="5"/>
        <v>34.299999999999997</v>
      </c>
      <c r="P6">
        <v>259</v>
      </c>
      <c r="Q6">
        <f>(I6+K6)*(27.5/100)*(51.9/100)</f>
        <v>505.63185750000002</v>
      </c>
      <c r="R6">
        <f>(I6+K6)*(70.1/100)</f>
        <v>2483.4326999999998</v>
      </c>
      <c r="S6" s="3">
        <f>R6*(0.061/100)</f>
        <v>1.5148939469999998</v>
      </c>
      <c r="T6" s="3">
        <f>(I6+K6)*(27.5/100)*(5.55/100)</f>
        <v>54.070458750000007</v>
      </c>
      <c r="U6" s="3">
        <v>79.400000000000006</v>
      </c>
      <c r="V6" s="3">
        <f>(I6+K6)*(27.5/100)*(0.31/100)</f>
        <v>3.0201517500000001</v>
      </c>
      <c r="W6" s="3">
        <v>36.5</v>
      </c>
      <c r="X6">
        <f>(27.8/(27.8+26.6+31.2))*100</f>
        <v>32.476635514018689</v>
      </c>
      <c r="Y6">
        <f>(26.6/(27.8+26.6+31.2))*100</f>
        <v>31.074766355140188</v>
      </c>
      <c r="Z6">
        <f>(31.2/(27.8+26.6+31.2))*100</f>
        <v>36.448598130841113</v>
      </c>
      <c r="AA6">
        <f>0.26+0</f>
        <v>0.26</v>
      </c>
      <c r="AB6">
        <f>37.7+0.28</f>
        <v>37.980000000000004</v>
      </c>
      <c r="AC6">
        <f>60.8+20.6</f>
        <v>81.400000000000006</v>
      </c>
      <c r="AD6">
        <f>94.9+0.26</f>
        <v>95.160000000000011</v>
      </c>
      <c r="AE6">
        <f>61.9+37.7</f>
        <v>99.6</v>
      </c>
      <c r="AF6">
        <f>13.6+60.8</f>
        <v>74.399999999999991</v>
      </c>
      <c r="AG6">
        <f>(I6+K6)*(27.5/100)*(39.3/100)*(14.4/100)*(5.41/100)</f>
        <v>2.9827673373960004</v>
      </c>
      <c r="AI6" s="3">
        <f>I6*(75.4/100)*(72.2/100)</f>
        <v>1776.5557991999999</v>
      </c>
      <c r="AJ6" s="3">
        <f>I6*(75.4/100)*(16.5/100)</f>
        <v>405.999594</v>
      </c>
      <c r="AK6">
        <f t="shared" ref="AK6:AK7" si="6">AI6/AJ6</f>
        <v>4.375757575757576</v>
      </c>
      <c r="AL6">
        <v>83.6</v>
      </c>
      <c r="AM6">
        <v>6.03</v>
      </c>
      <c r="AN6">
        <v>2.34</v>
      </c>
      <c r="AO6">
        <v>14.3</v>
      </c>
      <c r="AP6">
        <v>6.82</v>
      </c>
      <c r="AQ6">
        <v>52.3</v>
      </c>
      <c r="AR6">
        <v>0.32</v>
      </c>
      <c r="AS6">
        <v>1.8</v>
      </c>
      <c r="AT6">
        <v>0.12</v>
      </c>
      <c r="AU6">
        <v>0.86</v>
      </c>
      <c r="AV6">
        <v>6.16</v>
      </c>
      <c r="AW6">
        <v>4.01</v>
      </c>
      <c r="AX6" s="5">
        <v>0.26</v>
      </c>
      <c r="AY6" s="5">
        <v>21.6</v>
      </c>
      <c r="AZ6" s="5">
        <v>0.78</v>
      </c>
      <c r="BA6" s="3">
        <v>1.1200000000000001</v>
      </c>
      <c r="BB6" s="3">
        <v>0.47</v>
      </c>
      <c r="BC6" s="3">
        <v>0.37</v>
      </c>
      <c r="BD6" s="3">
        <v>9.4</v>
      </c>
      <c r="BE6" s="3">
        <v>4.51</v>
      </c>
      <c r="BF6" s="3">
        <v>2.06</v>
      </c>
      <c r="BG6" s="3">
        <v>11.2</v>
      </c>
      <c r="BH6" s="3">
        <v>0.97</v>
      </c>
      <c r="BI6" s="3">
        <v>0.75</v>
      </c>
    </row>
    <row r="7" spans="1:61" x14ac:dyDescent="0.2">
      <c r="A7" s="1">
        <v>43581</v>
      </c>
      <c r="B7">
        <f>B4+7*4</f>
        <v>40</v>
      </c>
      <c r="C7">
        <f t="shared" si="0"/>
        <v>5.7142857142857144</v>
      </c>
      <c r="D7" t="s">
        <v>31</v>
      </c>
      <c r="E7">
        <v>6700</v>
      </c>
      <c r="F7">
        <v>36.5</v>
      </c>
      <c r="G7" s="2">
        <f t="shared" si="1"/>
        <v>2445.5</v>
      </c>
      <c r="H7">
        <v>56.6</v>
      </c>
      <c r="I7" s="2">
        <f t="shared" si="2"/>
        <v>3792.2000000000003</v>
      </c>
      <c r="J7">
        <v>5.4</v>
      </c>
      <c r="K7" s="2">
        <f t="shared" si="3"/>
        <v>361.80000000000007</v>
      </c>
      <c r="L7">
        <v>1</v>
      </c>
      <c r="M7" s="2">
        <f t="shared" si="4"/>
        <v>67</v>
      </c>
      <c r="N7">
        <v>0.5</v>
      </c>
      <c r="O7" s="2">
        <f t="shared" si="5"/>
        <v>33.5</v>
      </c>
      <c r="P7">
        <v>477</v>
      </c>
      <c r="Q7">
        <f>(I7+K7)*(30.4/100)*(46.3/100)</f>
        <v>584.683808</v>
      </c>
      <c r="R7">
        <f>(I7+K7)*(66.5/100)</f>
        <v>2762.4100000000003</v>
      </c>
      <c r="S7" s="3">
        <f>R7*(0.062/100)</f>
        <v>1.7126942000000003</v>
      </c>
      <c r="T7" s="3">
        <f>(I7+K7)*(30.4/100)*(8.86/100)</f>
        <v>111.88549759999999</v>
      </c>
      <c r="U7" s="3">
        <v>84</v>
      </c>
      <c r="V7" s="3">
        <f>(I7+K7)*(30.4/100)*(0.44/100)</f>
        <v>5.5563904000000006</v>
      </c>
      <c r="W7" s="3">
        <v>60.2</v>
      </c>
      <c r="X7">
        <f>(45.9/(45.9+31+11.3))*100</f>
        <v>52.040816326530603</v>
      </c>
      <c r="Y7">
        <f>(31/(45.9+31+11.3))*100</f>
        <v>35.147392290249428</v>
      </c>
      <c r="Z7">
        <f>(11.3/(45.9+31+11.3))*100</f>
        <v>12.811791383219957</v>
      </c>
      <c r="AA7">
        <f>0.42+0.013</f>
        <v>0.433</v>
      </c>
      <c r="AB7">
        <f>41.2+0.33</f>
        <v>41.53</v>
      </c>
      <c r="AC7">
        <f>45.3+34.1</f>
        <v>79.400000000000006</v>
      </c>
      <c r="AD7">
        <f>85.6+0.42</f>
        <v>86.02</v>
      </c>
      <c r="AE7">
        <f>58.3+41.2</f>
        <v>99.5</v>
      </c>
      <c r="AF7">
        <f>8.32+45.3</f>
        <v>53.62</v>
      </c>
      <c r="AG7">
        <f>(I7+K7)*(30.4/100)*(42.8/100)*(11.8/100)*(5.85/100)</f>
        <v>3.730969666944</v>
      </c>
      <c r="AI7" s="3">
        <f>I7*(71.6/100)*(62.5/100)</f>
        <v>1697.0095000000001</v>
      </c>
      <c r="AJ7" s="3">
        <f>I7*(71.6/100)*(25.2/100)</f>
        <v>684.2342304</v>
      </c>
      <c r="AK7">
        <f t="shared" si="6"/>
        <v>2.4801587301587302</v>
      </c>
      <c r="AL7">
        <v>93.1</v>
      </c>
      <c r="AM7">
        <v>3.07</v>
      </c>
      <c r="AN7">
        <v>0.13</v>
      </c>
      <c r="AO7">
        <v>8.57</v>
      </c>
      <c r="AP7">
        <v>3.9</v>
      </c>
      <c r="AQ7">
        <v>41.5</v>
      </c>
      <c r="AR7">
        <v>0.38</v>
      </c>
      <c r="AS7">
        <v>1.1100000000000001</v>
      </c>
      <c r="AT7">
        <v>6.0999999999999999E-2</v>
      </c>
      <c r="AU7">
        <v>0.48</v>
      </c>
      <c r="AV7">
        <v>16.2</v>
      </c>
      <c r="AW7">
        <v>5.94</v>
      </c>
      <c r="AX7" s="3">
        <v>0</v>
      </c>
      <c r="AY7" s="3">
        <v>51.5</v>
      </c>
      <c r="AZ7" s="3">
        <v>0</v>
      </c>
      <c r="BA7" s="3">
        <v>0.89</v>
      </c>
      <c r="BB7" s="3">
        <v>0.97</v>
      </c>
      <c r="BC7" s="3">
        <v>0.28999999999999998</v>
      </c>
      <c r="BD7" s="3">
        <v>8.1300000000000008</v>
      </c>
      <c r="BE7" s="3">
        <v>9.89</v>
      </c>
      <c r="BF7" s="3">
        <v>4.8499999999999996</v>
      </c>
      <c r="BG7" s="3">
        <v>8.0399999999999991</v>
      </c>
      <c r="BH7" s="3">
        <v>0.59</v>
      </c>
      <c r="BI7" s="3">
        <v>1.37</v>
      </c>
    </row>
    <row r="8" spans="1:61" s="3" customFormat="1" x14ac:dyDescent="0.2">
      <c r="A8" s="15">
        <v>43595</v>
      </c>
      <c r="B8" s="3">
        <f>B4+(6*7)</f>
        <v>54</v>
      </c>
      <c r="C8" s="3">
        <f t="shared" si="0"/>
        <v>7.7142857142857144</v>
      </c>
      <c r="D8" s="3" t="s">
        <v>32</v>
      </c>
      <c r="E8" s="3">
        <v>7600</v>
      </c>
      <c r="F8" s="3">
        <v>39.200000000000003</v>
      </c>
      <c r="G8" s="16">
        <f t="shared" si="1"/>
        <v>2979.2000000000003</v>
      </c>
      <c r="H8" s="3">
        <v>47.6</v>
      </c>
      <c r="I8" s="16">
        <f t="shared" si="2"/>
        <v>3617.6000000000004</v>
      </c>
      <c r="J8" s="3">
        <v>11.7</v>
      </c>
      <c r="K8" s="16">
        <f t="shared" si="3"/>
        <v>889.19999999999993</v>
      </c>
      <c r="L8" s="3">
        <v>0.8</v>
      </c>
      <c r="M8" s="16">
        <f t="shared" si="4"/>
        <v>60.800000000000004</v>
      </c>
      <c r="N8" s="3">
        <v>0.7</v>
      </c>
      <c r="O8" s="16">
        <f t="shared" si="5"/>
        <v>53.199999999999996</v>
      </c>
      <c r="P8">
        <v>247</v>
      </c>
      <c r="Q8">
        <f>(I8+K8)*(43.9/100)*(37/100)</f>
        <v>732.03952400000003</v>
      </c>
      <c r="R8">
        <f>(I8+K8)*(53.6/100)</f>
        <v>2415.6448</v>
      </c>
      <c r="S8" s="3">
        <f>R8*(0.14/100)</f>
        <v>3.3819027200000007</v>
      </c>
      <c r="T8" s="3">
        <f>(I8+K8)*(43.9/100)*(8.98/100)</f>
        <v>177.66797096000002</v>
      </c>
      <c r="U8" s="3">
        <v>88.2</v>
      </c>
      <c r="V8" s="3">
        <f>(I8+K8)*(43.9/100)*(0.38/100)</f>
        <v>7.5182437600000007</v>
      </c>
      <c r="W8" s="3">
        <v>64.2</v>
      </c>
      <c r="X8">
        <f>(47.5/(47.5+28.8+19.6))*100</f>
        <v>49.530761209593322</v>
      </c>
      <c r="Y8">
        <f>(28.8/(47.5+28.8+19.6))*100</f>
        <v>30.031282586027107</v>
      </c>
      <c r="Z8">
        <f>(19.6/(47.5+28.8+19.6))*100</f>
        <v>20.437956204379564</v>
      </c>
      <c r="AA8">
        <f>0.2+0.0063</f>
        <v>0.20630000000000001</v>
      </c>
      <c r="AB8">
        <f>47.3+0.27</f>
        <v>47.57</v>
      </c>
      <c r="AC8">
        <f>31.2+48.3</f>
        <v>79.5</v>
      </c>
      <c r="AD8">
        <f>93.4+0.2</f>
        <v>93.600000000000009</v>
      </c>
      <c r="AE8">
        <f>52.1+47.3</f>
        <v>99.4</v>
      </c>
      <c r="AF8">
        <f>6.21+31.2</f>
        <v>37.409999999999997</v>
      </c>
      <c r="AG8">
        <f>(I8+K8)*(43.9/100)*(52.2/100)*(4.15/100)*(6.71/100)</f>
        <v>2.8759009599579604</v>
      </c>
      <c r="AI8" s="3">
        <f>I8*(56/100)*(61.6/100)</f>
        <v>1247.9272960000003</v>
      </c>
      <c r="AJ8" s="3">
        <f>I8*(56/100)*(25.4/100)</f>
        <v>514.56742400000007</v>
      </c>
      <c r="AK8" s="3">
        <f>AI8/AJ8</f>
        <v>2.4251968503937009</v>
      </c>
      <c r="AL8" s="3">
        <v>93.6</v>
      </c>
      <c r="AM8" s="3">
        <v>3.22</v>
      </c>
      <c r="AN8" s="3">
        <v>0.19</v>
      </c>
      <c r="AO8" s="3">
        <v>5.76</v>
      </c>
      <c r="AP8" s="3">
        <v>3.86</v>
      </c>
      <c r="AQ8" s="3">
        <v>36.799999999999997</v>
      </c>
      <c r="AR8" s="3">
        <v>0.25</v>
      </c>
      <c r="AS8" s="3">
        <v>0.9</v>
      </c>
      <c r="AT8" s="31">
        <v>5.3999999999999999E-2</v>
      </c>
      <c r="AU8" s="3">
        <v>0.66</v>
      </c>
      <c r="AV8" s="3">
        <v>10.3</v>
      </c>
      <c r="AW8" s="3">
        <v>4.3600000000000003</v>
      </c>
      <c r="AX8" s="3">
        <v>1.1299999999999999</v>
      </c>
      <c r="AY8" s="3">
        <v>44.1</v>
      </c>
      <c r="AZ8" s="3">
        <v>1.1299999999999999</v>
      </c>
      <c r="BA8" s="3">
        <v>0.67</v>
      </c>
      <c r="BB8" s="3">
        <v>1.61</v>
      </c>
      <c r="BC8" s="3">
        <v>0.31</v>
      </c>
      <c r="BD8" s="3">
        <v>8.61</v>
      </c>
      <c r="BE8" s="3">
        <v>6.74</v>
      </c>
      <c r="BF8" s="3">
        <v>4.6100000000000003</v>
      </c>
      <c r="BG8" s="3">
        <v>13.6</v>
      </c>
      <c r="BH8" s="3">
        <v>0.86</v>
      </c>
      <c r="BI8" s="3">
        <v>2.9</v>
      </c>
    </row>
    <row r="19" spans="1:1" x14ac:dyDescent="0.2">
      <c r="A19" s="5" t="s">
        <v>38</v>
      </c>
    </row>
    <row r="20" spans="1:1" x14ac:dyDescent="0.2">
      <c r="A20" s="4" t="s">
        <v>39</v>
      </c>
    </row>
    <row r="21" spans="1:1" x14ac:dyDescent="0.2">
      <c r="A21" s="17" t="s">
        <v>77</v>
      </c>
    </row>
  </sheetData>
  <mergeCells count="10">
    <mergeCell ref="Q1:AH2"/>
    <mergeCell ref="E1:P2"/>
    <mergeCell ref="BG2:BI2"/>
    <mergeCell ref="AR1:BI1"/>
    <mergeCell ref="AI1:AQ2"/>
    <mergeCell ref="AR2:AT2"/>
    <mergeCell ref="AU2:AW2"/>
    <mergeCell ref="AX2:AZ2"/>
    <mergeCell ref="BA2:BC2"/>
    <mergeCell ref="BD2:BF2"/>
  </mergeCells>
  <pageMargins left="0.7" right="0.7" top="0.75" bottom="0.75" header="0.3" footer="0.3"/>
  <cellWatches>
    <cellWatch r="B1"/>
    <cellWatch r="B3"/>
  </cellWatch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B401-33FB-3444-9199-940205387A95}">
  <sheetPr>
    <tabColor rgb="FFFF0000"/>
  </sheetPr>
  <dimension ref="A1:BI21"/>
  <sheetViews>
    <sheetView workbookViewId="0">
      <pane xSplit="4" ySplit="2" topLeftCell="AQ3" activePane="bottomRight" state="frozen"/>
      <selection activeCell="AB8" sqref="AB8"/>
      <selection pane="topRight" activeCell="AB8" sqref="AB8"/>
      <selection pane="bottomLeft" activeCell="AB8" sqref="AB8"/>
      <selection pane="bottomRight" activeCell="AZ30" sqref="AZ30"/>
    </sheetView>
  </sheetViews>
  <sheetFormatPr baseColWidth="10" defaultRowHeight="16" x14ac:dyDescent="0.2"/>
  <cols>
    <col min="1" max="1" width="9.6640625" customWidth="1"/>
    <col min="2" max="2" width="9.83203125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38275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43563</v>
      </c>
      <c r="B4">
        <v>12</v>
      </c>
      <c r="C4">
        <f>B4/7</f>
        <v>1.7142857142857142</v>
      </c>
      <c r="D4" t="s">
        <v>28</v>
      </c>
      <c r="E4">
        <v>10200</v>
      </c>
      <c r="F4">
        <v>64.599999999999994</v>
      </c>
      <c r="G4" s="2">
        <f>E4*(F4/100)</f>
        <v>6589.1999999999989</v>
      </c>
      <c r="H4">
        <v>29.2</v>
      </c>
      <c r="I4" s="2">
        <f>E4*(H4/100)</f>
        <v>2978.3999999999996</v>
      </c>
      <c r="J4">
        <v>4.4000000000000004</v>
      </c>
      <c r="K4" s="2">
        <f>E4*(J4/100)</f>
        <v>448.80000000000007</v>
      </c>
      <c r="L4">
        <v>1</v>
      </c>
      <c r="M4" s="2">
        <f>E4*(L4/100)</f>
        <v>102</v>
      </c>
      <c r="N4">
        <v>0.8</v>
      </c>
      <c r="O4" s="2">
        <f>E4*(N4/100)</f>
        <v>81.600000000000009</v>
      </c>
      <c r="P4">
        <v>755</v>
      </c>
      <c r="Q4" s="16">
        <f>(I4+K4)*(40/100)*(23.2/100)</f>
        <v>318.04415999999998</v>
      </c>
      <c r="R4" s="28">
        <f>(I4+K4)*(57.9/100)</f>
        <v>1984.3487999999998</v>
      </c>
      <c r="S4" s="3">
        <f>R4*(0.11/100)</f>
        <v>2.18278368</v>
      </c>
      <c r="T4" s="3">
        <f>(I4+K4)*(40/100)*(31.9/100)</f>
        <v>437.31072000000006</v>
      </c>
      <c r="U4" s="3">
        <v>97</v>
      </c>
      <c r="V4" s="3">
        <f>(I4+K4)*(40/100)*(0.56/100)</f>
        <v>7.676928000000002</v>
      </c>
      <c r="W4">
        <v>71.3</v>
      </c>
      <c r="X4">
        <f>(72.9/(72.9+13.9+6.77))*100</f>
        <v>77.909586405899319</v>
      </c>
      <c r="Y4">
        <f>(13.9/(72.9+13.9+6.77))*100</f>
        <v>14.855188628834027</v>
      </c>
      <c r="Z4">
        <f>(6.77/(72.9+13.9+6.77))*100</f>
        <v>7.235224965266644</v>
      </c>
      <c r="AA4">
        <f>0.59+0.019</f>
        <v>0.60899999999999999</v>
      </c>
      <c r="AB4">
        <f>15.4+0.05</f>
        <v>15.450000000000001</v>
      </c>
      <c r="AC4">
        <f>41+39.8</f>
        <v>80.8</v>
      </c>
      <c r="AD4">
        <f>91+0.59</f>
        <v>91.59</v>
      </c>
      <c r="AE4">
        <f>84.4+15.4</f>
        <v>99.800000000000011</v>
      </c>
      <c r="AF4">
        <f>7.48+41</f>
        <v>48.480000000000004</v>
      </c>
      <c r="AG4">
        <f>(I4+K4)*(40/100)*(38.9/100)*(6.43/100)*(9.28/100)</f>
        <v>3.1820572643327996</v>
      </c>
      <c r="AI4">
        <f>I4*(63.3/100)*(72.3/100)</f>
        <v>1363.0915655999997</v>
      </c>
      <c r="AJ4">
        <f>I4*(63.3/100)*(20.8/100)</f>
        <v>392.14805759999996</v>
      </c>
      <c r="AK4">
        <f t="shared" ref="AK4:AK6" si="0">AI4/AJ4</f>
        <v>3.4759615384615383</v>
      </c>
      <c r="AL4">
        <v>78.599999999999994</v>
      </c>
      <c r="AM4">
        <v>10.3</v>
      </c>
      <c r="AN4">
        <v>1.52</v>
      </c>
      <c r="AO4">
        <v>63.4</v>
      </c>
      <c r="AP4">
        <v>11.8</v>
      </c>
      <c r="AQ4">
        <v>6.94</v>
      </c>
      <c r="AR4">
        <v>7.0000000000000007E-2</v>
      </c>
      <c r="AS4">
        <v>3.69</v>
      </c>
      <c r="AT4">
        <v>0.2</v>
      </c>
      <c r="AU4">
        <v>1.07</v>
      </c>
      <c r="AV4">
        <v>19.7</v>
      </c>
      <c r="AW4">
        <v>1.1100000000000001</v>
      </c>
      <c r="AX4" s="5">
        <v>0.28000000000000003</v>
      </c>
      <c r="AY4" s="5">
        <v>19.600000000000001</v>
      </c>
      <c r="AZ4" s="5">
        <v>0.28000000000000003</v>
      </c>
      <c r="BA4">
        <v>0.16</v>
      </c>
      <c r="BB4">
        <v>0.37</v>
      </c>
      <c r="BC4">
        <v>0.65</v>
      </c>
      <c r="BD4">
        <v>0.25</v>
      </c>
      <c r="BE4">
        <v>3.27</v>
      </c>
      <c r="BF4">
        <v>3.02</v>
      </c>
      <c r="BG4">
        <v>3.2</v>
      </c>
      <c r="BH4">
        <v>2.13</v>
      </c>
      <c r="BI4">
        <v>1.28</v>
      </c>
    </row>
    <row r="5" spans="1:61" x14ac:dyDescent="0.2">
      <c r="A5" s="1">
        <v>43567</v>
      </c>
      <c r="B5">
        <f>B4+4</f>
        <v>16</v>
      </c>
      <c r="C5">
        <f t="shared" ref="C5:C8" si="1">B5/7</f>
        <v>2.2857142857142856</v>
      </c>
      <c r="D5" t="s">
        <v>29</v>
      </c>
      <c r="E5">
        <v>7100</v>
      </c>
      <c r="F5">
        <v>42</v>
      </c>
      <c r="G5" s="2">
        <f t="shared" ref="G5:G8" si="2">E5*(F5/100)</f>
        <v>2982</v>
      </c>
      <c r="H5">
        <v>52.8</v>
      </c>
      <c r="I5" s="2">
        <f t="shared" ref="I5:I8" si="3">E5*(H5/100)</f>
        <v>3748.8</v>
      </c>
      <c r="J5">
        <v>3.4</v>
      </c>
      <c r="K5" s="2">
        <f t="shared" ref="K5:K8" si="4">E5*(J5/100)</f>
        <v>241.4</v>
      </c>
      <c r="L5">
        <v>1</v>
      </c>
      <c r="M5" s="2">
        <f t="shared" ref="M5:M8" si="5">E5*(L5/100)</f>
        <v>71</v>
      </c>
      <c r="N5">
        <v>0.8</v>
      </c>
      <c r="O5" s="2">
        <f t="shared" ref="O5:O8" si="6">E5*(N5/100)</f>
        <v>56.800000000000004</v>
      </c>
      <c r="P5">
        <v>676</v>
      </c>
      <c r="Q5" s="16">
        <f>(I5+K5)*(45.3/100)*(55.1/100)</f>
        <v>995.96589060000008</v>
      </c>
      <c r="R5" s="28">
        <f>(I5+K5)*(53.5/100)</f>
        <v>2134.7570000000001</v>
      </c>
      <c r="S5" s="3">
        <f>R5*(0.17/100)</f>
        <v>3.6290869000000003</v>
      </c>
      <c r="T5" s="3">
        <f>(I5+K5)*(45.3/100)*(15.8/100)</f>
        <v>285.59457480000003</v>
      </c>
      <c r="U5" s="3">
        <v>96.7</v>
      </c>
      <c r="V5" s="3">
        <f>(I5+K5)*(45.3/100)*(0.21/100)</f>
        <v>3.7958772599999997</v>
      </c>
      <c r="W5">
        <v>45.5</v>
      </c>
      <c r="X5">
        <f>(71.3/(71.3+12.7+10.5))*100</f>
        <v>75.449735449735442</v>
      </c>
      <c r="Y5">
        <f>(12.7/(71.3+12.7+10.5))*100</f>
        <v>13.43915343915344</v>
      </c>
      <c r="Z5">
        <f>(10.5/(71.3+12.7+10.5))*100</f>
        <v>11.111111111111111</v>
      </c>
      <c r="AA5">
        <f>0.14+0.026</f>
        <v>0.16600000000000001</v>
      </c>
      <c r="AB5">
        <f>18.8+1.66</f>
        <v>20.46</v>
      </c>
      <c r="AC5">
        <f>37.8+45.6</f>
        <v>83.4</v>
      </c>
      <c r="AD5">
        <f>81.6+0.14</f>
        <v>81.739999999999995</v>
      </c>
      <c r="AE5">
        <f>78.4+18.8</f>
        <v>97.2</v>
      </c>
      <c r="AF5">
        <f>5.93+37.8</f>
        <v>43.73</v>
      </c>
      <c r="AG5">
        <f>(I5+K5)*(45.3/100)*(25.8/100)*(5.53/100)*(3.23/100)</f>
        <v>0.8329908403734122</v>
      </c>
      <c r="AH5" s="3"/>
      <c r="AI5">
        <f>I5*(58.3/100)*(77.2/100)</f>
        <v>1687.2449088000001</v>
      </c>
      <c r="AJ5">
        <f>I5*(58.3/100)*(17.6/100)</f>
        <v>384.65687040000006</v>
      </c>
      <c r="AK5">
        <f t="shared" si="0"/>
        <v>4.3863636363636358</v>
      </c>
      <c r="AL5">
        <v>84.9</v>
      </c>
      <c r="AM5">
        <v>10.4</v>
      </c>
      <c r="AN5">
        <v>0.27</v>
      </c>
      <c r="AO5">
        <v>85.2</v>
      </c>
      <c r="AP5">
        <v>7.43</v>
      </c>
      <c r="AQ5">
        <v>1.92</v>
      </c>
      <c r="AR5">
        <v>0.14000000000000001</v>
      </c>
      <c r="AS5">
        <v>2.12</v>
      </c>
      <c r="AT5">
        <v>2.9000000000000001E-2</v>
      </c>
      <c r="AU5">
        <v>1.99</v>
      </c>
      <c r="AV5">
        <v>15.3</v>
      </c>
      <c r="AW5">
        <v>0.66</v>
      </c>
      <c r="AX5" s="5">
        <v>4.46</v>
      </c>
      <c r="AY5" s="5">
        <v>56.2</v>
      </c>
      <c r="AZ5" s="5">
        <v>0</v>
      </c>
      <c r="BA5" s="3">
        <v>0.13</v>
      </c>
      <c r="BB5" s="3">
        <v>0.24</v>
      </c>
      <c r="BC5" s="3">
        <v>0.24</v>
      </c>
      <c r="BD5" s="3">
        <v>2.4500000000000002</v>
      </c>
      <c r="BE5" s="3">
        <v>2.31</v>
      </c>
      <c r="BF5" s="3">
        <v>1.73</v>
      </c>
      <c r="BG5" s="3">
        <v>14</v>
      </c>
      <c r="BH5" s="3">
        <v>0.56000000000000005</v>
      </c>
      <c r="BI5" s="3">
        <v>0.56000000000000005</v>
      </c>
    </row>
    <row r="6" spans="1:61" x14ac:dyDescent="0.2">
      <c r="A6" s="1">
        <v>43573</v>
      </c>
      <c r="B6">
        <f>B4+10</f>
        <v>22</v>
      </c>
      <c r="C6">
        <f t="shared" si="1"/>
        <v>3.1428571428571428</v>
      </c>
      <c r="D6" t="s">
        <v>30</v>
      </c>
      <c r="E6" s="3">
        <v>4000</v>
      </c>
      <c r="F6" s="3">
        <v>23.8</v>
      </c>
      <c r="G6" s="2">
        <f t="shared" si="2"/>
        <v>952.00000000000011</v>
      </c>
      <c r="H6" s="3">
        <v>63.1</v>
      </c>
      <c r="I6" s="2">
        <f t="shared" si="3"/>
        <v>2524</v>
      </c>
      <c r="J6" s="3">
        <v>11.5</v>
      </c>
      <c r="K6" s="2">
        <f t="shared" si="4"/>
        <v>460</v>
      </c>
      <c r="L6" s="3">
        <v>0.8</v>
      </c>
      <c r="M6" s="2">
        <f t="shared" si="5"/>
        <v>32</v>
      </c>
      <c r="N6" s="3">
        <v>0.8</v>
      </c>
      <c r="O6" s="2">
        <f t="shared" si="6"/>
        <v>32</v>
      </c>
      <c r="P6">
        <v>361</v>
      </c>
      <c r="Q6" s="16">
        <f>(I6+K6)*(53.4/100)*(59.2/100)</f>
        <v>943.32595200000026</v>
      </c>
      <c r="R6" s="28">
        <f>(I6+K6)*(44.9/100)</f>
        <v>1339.816</v>
      </c>
      <c r="S6" s="3">
        <f>R6*(0.067/100)</f>
        <v>0.89767672000000009</v>
      </c>
      <c r="T6" s="3">
        <f>(I6+K6)*(53.4/100)*(6.33/100)</f>
        <v>100.86576479999999</v>
      </c>
      <c r="U6" s="3">
        <v>94.1</v>
      </c>
      <c r="V6" s="3">
        <f>(I6+K6)*(53.4/100)*(0.4/100)</f>
        <v>6.3738240000000008</v>
      </c>
      <c r="W6">
        <v>64</v>
      </c>
      <c r="X6">
        <f>(26.3/(26.3+35+30.5))*100</f>
        <v>28.649237472766885</v>
      </c>
      <c r="Y6">
        <f>(35/(26.3+35+30.5))*100</f>
        <v>38.126361655773422</v>
      </c>
      <c r="Z6">
        <f>(30.5/(26.3+35+30.5))*100</f>
        <v>33.2244008714597</v>
      </c>
      <c r="AA6">
        <f>0.038+0</f>
        <v>3.7999999999999999E-2</v>
      </c>
      <c r="AB6">
        <f>9.82+0.019</f>
        <v>9.8390000000000004</v>
      </c>
      <c r="AC6">
        <f>65.2+13.8</f>
        <v>79</v>
      </c>
      <c r="AD6">
        <f>76.1+0.038</f>
        <v>76.137999999999991</v>
      </c>
      <c r="AE6">
        <f>88.2+9.82</f>
        <v>98.02000000000001</v>
      </c>
      <c r="AF6">
        <f>18.2+65.2</f>
        <v>83.4</v>
      </c>
      <c r="AG6">
        <f>(I6+K6)*(53.4/100)*(32.8/100)*(8.19/100)*(1.73/100)</f>
        <v>0.7405321608921599</v>
      </c>
      <c r="AI6">
        <f>I6*(43.4/100)*(75.9/100)</f>
        <v>831.42074400000001</v>
      </c>
      <c r="AJ6">
        <f>I6*(43.4/100)*(16.6/100)</f>
        <v>181.839056</v>
      </c>
      <c r="AK6">
        <f t="shared" si="0"/>
        <v>4.572289156626506</v>
      </c>
      <c r="AL6">
        <v>77.3</v>
      </c>
      <c r="AM6">
        <v>14.3</v>
      </c>
      <c r="AN6">
        <v>0.57999999999999996</v>
      </c>
      <c r="AO6">
        <v>5.13</v>
      </c>
      <c r="AP6">
        <v>10.7</v>
      </c>
      <c r="AQ6">
        <v>72.5</v>
      </c>
      <c r="AR6">
        <v>0.62</v>
      </c>
      <c r="AS6">
        <v>2.4500000000000002</v>
      </c>
      <c r="AT6">
        <v>0.23</v>
      </c>
      <c r="AU6">
        <v>3.77</v>
      </c>
      <c r="AV6">
        <v>7.26</v>
      </c>
      <c r="AW6">
        <v>2.13</v>
      </c>
      <c r="AX6">
        <v>17</v>
      </c>
      <c r="AY6">
        <v>49.4</v>
      </c>
      <c r="AZ6">
        <v>0.56999999999999995</v>
      </c>
      <c r="BA6">
        <v>1.18</v>
      </c>
      <c r="BB6">
        <v>0.59</v>
      </c>
      <c r="BC6">
        <v>1.18</v>
      </c>
      <c r="BD6">
        <v>8.7100000000000009</v>
      </c>
      <c r="BE6">
        <v>5.2</v>
      </c>
      <c r="BF6">
        <v>4.21</v>
      </c>
      <c r="BG6">
        <v>9.32</v>
      </c>
      <c r="BH6">
        <v>0.69</v>
      </c>
      <c r="BI6">
        <v>1.64</v>
      </c>
    </row>
    <row r="7" spans="1:61" x14ac:dyDescent="0.2">
      <c r="A7" s="1">
        <v>43591</v>
      </c>
      <c r="B7">
        <f>B4+4*7</f>
        <v>40</v>
      </c>
      <c r="C7">
        <f t="shared" si="1"/>
        <v>5.7142857142857144</v>
      </c>
      <c r="D7" t="s">
        <v>31</v>
      </c>
      <c r="E7">
        <v>6000</v>
      </c>
      <c r="F7">
        <v>50.2</v>
      </c>
      <c r="G7" s="2">
        <f t="shared" si="2"/>
        <v>3012</v>
      </c>
      <c r="H7">
        <v>40</v>
      </c>
      <c r="I7" s="2">
        <f t="shared" si="3"/>
        <v>2400</v>
      </c>
      <c r="J7">
        <v>7.8</v>
      </c>
      <c r="K7" s="2">
        <f t="shared" si="4"/>
        <v>468</v>
      </c>
      <c r="L7">
        <v>1.2</v>
      </c>
      <c r="M7" s="2">
        <f t="shared" si="5"/>
        <v>72</v>
      </c>
      <c r="N7">
        <v>0.8</v>
      </c>
      <c r="O7" s="2">
        <f t="shared" si="6"/>
        <v>48</v>
      </c>
      <c r="P7">
        <v>456</v>
      </c>
      <c r="Q7" s="16">
        <f>(I7+K7)*(51.6/100)*(25/100)</f>
        <v>369.97200000000004</v>
      </c>
      <c r="R7" s="28">
        <f>(I7+K7)*(43.9/100)</f>
        <v>1259.0519999999999</v>
      </c>
      <c r="S7" s="3">
        <f>R7*(0.21/100)</f>
        <v>2.6440091999999997</v>
      </c>
      <c r="T7" s="3">
        <f>(I7+K7)*(51.6/100)*(48.1/100)</f>
        <v>711.82612800000015</v>
      </c>
      <c r="U7" s="3">
        <v>95.7</v>
      </c>
      <c r="V7" s="3">
        <f>(I7+K7)*(51.6/100)*(2.36/100)</f>
        <v>34.925356800000003</v>
      </c>
      <c r="W7">
        <v>72.7</v>
      </c>
      <c r="X7">
        <f>(29.1/(29.1+24+40.6))*100</f>
        <v>31.056563500533617</v>
      </c>
      <c r="Y7">
        <f>(24/(29.1+24+40.6))*100</f>
        <v>25.613660618996796</v>
      </c>
      <c r="Z7">
        <f>(40.6/(29.1+24+40.6))*100</f>
        <v>43.329775880469583</v>
      </c>
      <c r="AA7">
        <f>0.08+0</f>
        <v>0.08</v>
      </c>
      <c r="AB7">
        <f>46</f>
        <v>46</v>
      </c>
      <c r="AC7">
        <f>46.4+20.1</f>
        <v>66.5</v>
      </c>
      <c r="AD7">
        <f>77.3+0.08</f>
        <v>77.38</v>
      </c>
      <c r="AE7">
        <f>53.3+46</f>
        <v>99.3</v>
      </c>
      <c r="AF7">
        <f>18.2+46.4</f>
        <v>64.599999999999994</v>
      </c>
      <c r="AG7">
        <f>(I7+K7)*(51.6/100)*(18.5/100)*(6.32/100)*(4.68/100)</f>
        <v>0.80977340321280011</v>
      </c>
      <c r="AI7">
        <f>I7*(50.8/100)*(58.9/100)</f>
        <v>718.10879999999997</v>
      </c>
      <c r="AJ7">
        <f>I7*(50.8/100)*(32/100)</f>
        <v>390.14400000000001</v>
      </c>
      <c r="AK7">
        <f>AI7/AJ7</f>
        <v>1.840625</v>
      </c>
      <c r="AL7">
        <v>89.9</v>
      </c>
      <c r="AM7">
        <v>6.49</v>
      </c>
      <c r="AN7">
        <v>0.34</v>
      </c>
      <c r="AO7">
        <v>7.66</v>
      </c>
      <c r="AP7">
        <v>6.21</v>
      </c>
      <c r="AQ7">
        <v>65.400000000000006</v>
      </c>
      <c r="AR7">
        <v>0.24</v>
      </c>
      <c r="AS7">
        <v>1.68</v>
      </c>
      <c r="AT7" s="29">
        <v>3.5000000000000003E-2</v>
      </c>
      <c r="AU7">
        <v>2.98</v>
      </c>
      <c r="AV7">
        <v>12.8</v>
      </c>
      <c r="AW7">
        <v>1.0900000000000001</v>
      </c>
      <c r="AX7">
        <v>13.5</v>
      </c>
      <c r="AY7">
        <v>34.700000000000003</v>
      </c>
      <c r="AZ7">
        <v>0.59</v>
      </c>
      <c r="BA7">
        <v>0.8</v>
      </c>
      <c r="BB7">
        <v>0.71</v>
      </c>
      <c r="BC7">
        <v>9.5000000000000001E-2</v>
      </c>
      <c r="BD7">
        <v>5.32</v>
      </c>
      <c r="BE7">
        <v>4.04</v>
      </c>
      <c r="BF7">
        <v>4.21</v>
      </c>
      <c r="BG7">
        <v>9.4700000000000006</v>
      </c>
      <c r="BH7">
        <v>0.34</v>
      </c>
      <c r="BI7">
        <v>1.86</v>
      </c>
    </row>
    <row r="8" spans="1:61" x14ac:dyDescent="0.2">
      <c r="A8" s="1">
        <v>43605</v>
      </c>
      <c r="B8">
        <f>B4+7*6</f>
        <v>54</v>
      </c>
      <c r="C8">
        <f t="shared" si="1"/>
        <v>7.7142857142857144</v>
      </c>
      <c r="D8" t="s">
        <v>32</v>
      </c>
      <c r="E8">
        <v>6700</v>
      </c>
      <c r="F8">
        <v>26.1</v>
      </c>
      <c r="G8" s="2">
        <f t="shared" si="2"/>
        <v>1748.7</v>
      </c>
      <c r="H8">
        <v>63.3</v>
      </c>
      <c r="I8" s="2">
        <f t="shared" si="3"/>
        <v>4241.1000000000004</v>
      </c>
      <c r="J8">
        <v>9.1</v>
      </c>
      <c r="K8" s="2">
        <f t="shared" si="4"/>
        <v>609.69999999999993</v>
      </c>
      <c r="L8">
        <v>0.9</v>
      </c>
      <c r="M8" s="2">
        <f t="shared" si="5"/>
        <v>60.300000000000004</v>
      </c>
      <c r="N8">
        <v>0.6</v>
      </c>
      <c r="O8" s="2">
        <f t="shared" si="6"/>
        <v>40.200000000000003</v>
      </c>
      <c r="P8">
        <v>335</v>
      </c>
      <c r="Q8" s="16">
        <f>(I8+K8)*(53.7/100)*(56.6/100)</f>
        <v>1474.3618536000004</v>
      </c>
      <c r="R8" s="28">
        <f>(I8+K8)*(44.6/100)</f>
        <v>2163.4567999999999</v>
      </c>
      <c r="S8" s="3">
        <f>R8*(0.14/100)</f>
        <v>3.0288395200000005</v>
      </c>
      <c r="T8" s="3">
        <f>(I8+K8)*(53.7/100)*(17.1/100)</f>
        <v>445.43441160000009</v>
      </c>
      <c r="U8" s="3">
        <v>96.2</v>
      </c>
      <c r="V8" s="3">
        <f>(I8+K8)*(53.7/100)*(0.97/100)</f>
        <v>25.267332120000003</v>
      </c>
      <c r="W8">
        <v>66.400000000000006</v>
      </c>
      <c r="X8">
        <f>(49.9/(49.9+27.8+16.9))*100</f>
        <v>52.74841437632135</v>
      </c>
      <c r="Y8">
        <f>(27.8/(49.9+27.8+16.9))*100</f>
        <v>29.386892177589857</v>
      </c>
      <c r="Z8">
        <f>(16.9/(49.9+27.8+16.9))*100</f>
        <v>17.864693446088793</v>
      </c>
      <c r="AA8">
        <f>0.00572</f>
        <v>5.7200000000000003E-3</v>
      </c>
      <c r="AB8">
        <f>17.6+0.051</f>
        <v>17.651</v>
      </c>
      <c r="AC8">
        <f>62.8+17.5</f>
        <v>80.3</v>
      </c>
      <c r="AD8">
        <f>87.1+0</f>
        <v>87.1</v>
      </c>
      <c r="AE8">
        <f>81.7+17.6</f>
        <v>99.300000000000011</v>
      </c>
      <c r="AF8">
        <f>6.34+62.8</f>
        <v>69.14</v>
      </c>
      <c r="AG8">
        <f>(I8+K8)*(53.7/100)*(22.4/100)*(5.46/100)*(5.17/100)</f>
        <v>1.6470957960737278</v>
      </c>
      <c r="AI8">
        <f>I8*(46.7/100)*(43.7/100)</f>
        <v>865.51944690000028</v>
      </c>
      <c r="AJ8">
        <f>I8*(46.7/100)*(46.1/100)</f>
        <v>913.05369570000016</v>
      </c>
      <c r="AK8">
        <f>AI8/AJ8</f>
        <v>0.94793926247288518</v>
      </c>
      <c r="AL8">
        <v>88.8</v>
      </c>
      <c r="AM8">
        <v>5.45</v>
      </c>
      <c r="AN8">
        <v>0.6</v>
      </c>
      <c r="AO8">
        <v>39</v>
      </c>
      <c r="AP8">
        <v>2.68</v>
      </c>
      <c r="AQ8">
        <v>30.3</v>
      </c>
      <c r="AR8">
        <v>0.3</v>
      </c>
      <c r="AS8">
        <v>1.42</v>
      </c>
      <c r="AT8">
        <v>0.23</v>
      </c>
      <c r="AU8">
        <v>0.93</v>
      </c>
      <c r="AV8">
        <v>19.8</v>
      </c>
      <c r="AW8">
        <v>2.57</v>
      </c>
      <c r="AX8" s="20">
        <v>4.26</v>
      </c>
      <c r="AY8" s="20">
        <v>21.3</v>
      </c>
      <c r="AZ8" s="20">
        <v>0.53</v>
      </c>
      <c r="BA8" s="3">
        <v>0.66</v>
      </c>
      <c r="BB8" s="3">
        <v>0.55000000000000004</v>
      </c>
      <c r="BC8" s="3">
        <v>0.95</v>
      </c>
      <c r="BD8" s="3">
        <v>1.69</v>
      </c>
      <c r="BE8" s="3">
        <v>9.24</v>
      </c>
      <c r="BF8" s="3">
        <v>9.02</v>
      </c>
      <c r="BG8" s="3">
        <v>6.84</v>
      </c>
      <c r="BH8" s="3">
        <v>0.4</v>
      </c>
      <c r="BI8" s="3">
        <v>2.63</v>
      </c>
    </row>
    <row r="10" spans="1:61" ht="16" customHeight="1" x14ac:dyDescent="1">
      <c r="AI10" s="21"/>
    </row>
    <row r="19" spans="1:1" x14ac:dyDescent="0.2">
      <c r="A19" s="5" t="s">
        <v>38</v>
      </c>
    </row>
    <row r="20" spans="1:1" x14ac:dyDescent="0.2">
      <c r="A20" s="4" t="s">
        <v>39</v>
      </c>
    </row>
    <row r="21" spans="1:1" x14ac:dyDescent="0.2">
      <c r="A21" s="17" t="s">
        <v>77</v>
      </c>
    </row>
  </sheetData>
  <mergeCells count="10">
    <mergeCell ref="Q1:AH2"/>
    <mergeCell ref="E1:P2"/>
    <mergeCell ref="BG2:BI2"/>
    <mergeCell ref="AR1:BI1"/>
    <mergeCell ref="AI1:AQ2"/>
    <mergeCell ref="AR2:AT2"/>
    <mergeCell ref="AU2:AW2"/>
    <mergeCell ref="AX2:AZ2"/>
    <mergeCell ref="BA2:BC2"/>
    <mergeCell ref="BD2:B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2D9D-11CB-8C49-ACA9-E800A5984C96}">
  <sheetPr>
    <tabColor rgb="FFFF0000"/>
  </sheetPr>
  <dimension ref="A1:BI21"/>
  <sheetViews>
    <sheetView workbookViewId="0">
      <pane xSplit="4" ySplit="2" topLeftCell="AQ3" activePane="bottomRight" state="frozen"/>
      <selection activeCell="AB8" sqref="AB8"/>
      <selection pane="topRight" activeCell="AB8" sqref="AB8"/>
      <selection pane="bottomLeft" activeCell="AB8" sqref="AB8"/>
      <selection pane="bottomRight" activeCell="AZ30" sqref="AZ30"/>
    </sheetView>
  </sheetViews>
  <sheetFormatPr baseColWidth="10" defaultRowHeight="16" x14ac:dyDescent="0.2"/>
  <cols>
    <col min="1" max="1" width="12.6640625" customWidth="1"/>
    <col min="2" max="2" width="9.83203125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10">
        <v>38276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43563</v>
      </c>
      <c r="B4">
        <v>12</v>
      </c>
      <c r="C4">
        <f>B4/7</f>
        <v>1.7142857142857142</v>
      </c>
      <c r="D4" t="s">
        <v>28</v>
      </c>
      <c r="E4">
        <v>8700</v>
      </c>
      <c r="F4">
        <v>38.6</v>
      </c>
      <c r="G4" s="2">
        <f>E4*(F4/100)</f>
        <v>3358.2000000000003</v>
      </c>
      <c r="H4">
        <v>56.7</v>
      </c>
      <c r="I4" s="2">
        <f>E4*(H4/100)</f>
        <v>4932.9000000000005</v>
      </c>
      <c r="J4">
        <v>3.1</v>
      </c>
      <c r="K4" s="2">
        <f>E4*(J4/100)</f>
        <v>269.7</v>
      </c>
      <c r="L4">
        <v>0.7</v>
      </c>
      <c r="M4" s="2">
        <f>E4*(L4/100)</f>
        <v>60.899999999999991</v>
      </c>
      <c r="N4">
        <v>0.9</v>
      </c>
      <c r="O4" s="2">
        <f>E4*(N4/100)</f>
        <v>78.300000000000011</v>
      </c>
      <c r="P4">
        <v>978</v>
      </c>
      <c r="Q4" s="16">
        <f>(I4+K4)*(36.2/100)*(36.9/100)</f>
        <v>694.95290280000006</v>
      </c>
      <c r="R4" s="28">
        <f>(I4+K4)*(61.8/100)</f>
        <v>3215.2068000000004</v>
      </c>
      <c r="S4" s="3">
        <f>R4*(0.097/100)</f>
        <v>3.1187505960000004</v>
      </c>
      <c r="T4" s="3">
        <f>(I4+K4)*(36.2/100)*(17.3/100)</f>
        <v>325.81802760000011</v>
      </c>
      <c r="U4" s="3">
        <v>84.3</v>
      </c>
      <c r="V4" s="3">
        <f>(I4+K4)*(36.2/100)*(0.45/100)</f>
        <v>8.475035400000003</v>
      </c>
      <c r="W4">
        <v>35.799999999999997</v>
      </c>
      <c r="X4">
        <f>(61.5/(61.5+9.42+20.2))*100</f>
        <v>67.49341527655838</v>
      </c>
      <c r="Y4">
        <f>(9.42/(61.5+9.42+20.2))*100</f>
        <v>10.338015803336258</v>
      </c>
      <c r="Z4">
        <f>(20.2/(61.5+9.42+20.2))*100</f>
        <v>22.168568920105354</v>
      </c>
      <c r="AA4">
        <f>0.34+0</f>
        <v>0.34</v>
      </c>
      <c r="AB4">
        <f>6.67+0.19</f>
        <v>6.86</v>
      </c>
      <c r="AC4">
        <f>8.43+9.12</f>
        <v>17.549999999999997</v>
      </c>
      <c r="AD4">
        <f>92.7+0.34</f>
        <v>93.04</v>
      </c>
      <c r="AE4">
        <f>92.6+6.67</f>
        <v>99.27</v>
      </c>
      <c r="AF4">
        <f>45.9+8.43</f>
        <v>54.33</v>
      </c>
      <c r="AG4">
        <f>(I4+K4)*(36.2/100)*(42.2/100)*(8.93/100)*(6.15/100)</f>
        <v>4.3648370268094814</v>
      </c>
      <c r="AI4">
        <f>I4*(66.2/100)*(64.4/100)</f>
        <v>2103.0333912000006</v>
      </c>
      <c r="AJ4">
        <f>I4*(66.2/100)*(22.4/100)</f>
        <v>731.48987520000003</v>
      </c>
      <c r="AK4">
        <f t="shared" ref="AK4:AK6" si="0">AI4/AJ4</f>
        <v>2.8750000000000004</v>
      </c>
      <c r="AL4">
        <v>78.099999999999994</v>
      </c>
      <c r="AM4">
        <v>10.8</v>
      </c>
      <c r="AN4">
        <v>1.58</v>
      </c>
      <c r="AO4">
        <v>56.8</v>
      </c>
      <c r="AP4">
        <v>7.61</v>
      </c>
      <c r="AQ4">
        <v>14.2</v>
      </c>
      <c r="AR4">
        <v>0.17</v>
      </c>
      <c r="AS4">
        <v>2.54</v>
      </c>
      <c r="AT4">
        <v>0.19</v>
      </c>
      <c r="AU4">
        <v>0.73</v>
      </c>
      <c r="AV4">
        <v>12</v>
      </c>
      <c r="AW4">
        <v>1.71</v>
      </c>
      <c r="AX4" s="5">
        <v>0.22</v>
      </c>
      <c r="AY4" s="5">
        <v>18.899999999999999</v>
      </c>
      <c r="AZ4" s="5">
        <v>1.29</v>
      </c>
      <c r="BA4">
        <v>0.12</v>
      </c>
      <c r="BB4">
        <v>0.59</v>
      </c>
      <c r="BC4">
        <v>1.1599999999999999</v>
      </c>
      <c r="BD4">
        <v>1.93</v>
      </c>
      <c r="BE4">
        <v>3.09</v>
      </c>
      <c r="BF4">
        <v>7.99</v>
      </c>
      <c r="BG4">
        <v>4.9000000000000004</v>
      </c>
      <c r="BH4">
        <v>2.21</v>
      </c>
      <c r="BI4">
        <v>0.83</v>
      </c>
    </row>
    <row r="5" spans="1:61" x14ac:dyDescent="0.2">
      <c r="A5" s="1">
        <v>43567</v>
      </c>
      <c r="B5">
        <f>B4+4</f>
        <v>16</v>
      </c>
      <c r="C5">
        <f t="shared" ref="C5:C8" si="1">B5/7</f>
        <v>2.2857142857142856</v>
      </c>
      <c r="D5" t="s">
        <v>29</v>
      </c>
      <c r="E5">
        <v>9800</v>
      </c>
      <c r="F5">
        <v>48</v>
      </c>
      <c r="G5" s="2">
        <f t="shared" ref="G5:G8" si="2">E5*(F5/100)</f>
        <v>4704</v>
      </c>
      <c r="H5">
        <v>48.3</v>
      </c>
      <c r="I5" s="2">
        <f t="shared" ref="I5:I8" si="3">E5*(H5/100)</f>
        <v>4733.3999999999996</v>
      </c>
      <c r="J5">
        <v>2.2000000000000002</v>
      </c>
      <c r="K5" s="2">
        <f t="shared" ref="K5:K7" si="4">E5*(J5/100)</f>
        <v>215.60000000000002</v>
      </c>
      <c r="L5">
        <v>0.9</v>
      </c>
      <c r="M5" s="2">
        <f t="shared" ref="M5:M8" si="5">E5*(L5/100)</f>
        <v>88.200000000000017</v>
      </c>
      <c r="N5">
        <v>0.6</v>
      </c>
      <c r="O5" s="2">
        <f t="shared" ref="O5:O8" si="6">E5*(N5/100)</f>
        <v>58.800000000000004</v>
      </c>
      <c r="P5">
        <v>608</v>
      </c>
      <c r="Q5" s="16">
        <f>(I5+K5)*(45.1/100)*(53.5/100)</f>
        <v>1194.1194650000002</v>
      </c>
      <c r="R5" s="28">
        <f>(I5+K5)*(53.5/100)</f>
        <v>2647.7150000000001</v>
      </c>
      <c r="S5" s="3">
        <f>R5*(0.13/100)</f>
        <v>3.4420294999999999</v>
      </c>
      <c r="T5" s="3">
        <f>(I5+K5)*(45.1/100)*(17.9/100)</f>
        <v>399.52782100000002</v>
      </c>
      <c r="U5" s="3">
        <v>81.8</v>
      </c>
      <c r="V5" s="3">
        <f>(I5+K5)*(45.1/100)*(0.23/100)</f>
        <v>5.1335977000000002</v>
      </c>
      <c r="W5">
        <v>35.5</v>
      </c>
      <c r="X5">
        <f>(67.6/(67.6+7.88+17.4))*100</f>
        <v>72.782084409991384</v>
      </c>
      <c r="Y5">
        <f>(7.88/(67.6+7.88+17.4))*100</f>
        <v>8.4840654608096475</v>
      </c>
      <c r="Z5">
        <f>(17.4/(67.6+7.88+17.4))*100</f>
        <v>18.733850129198963</v>
      </c>
      <c r="AA5">
        <f>0.15+0.083</f>
        <v>0.23299999999999998</v>
      </c>
      <c r="AB5">
        <f>5.47+4.44</f>
        <v>9.91</v>
      </c>
      <c r="AC5">
        <f>7.81+32.1</f>
        <v>39.910000000000004</v>
      </c>
      <c r="AD5">
        <f>75.9+0.15</f>
        <v>76.050000000000011</v>
      </c>
      <c r="AE5">
        <f>83.3+5.47</f>
        <v>88.77</v>
      </c>
      <c r="AF5">
        <f>13.3+7.81</f>
        <v>21.11</v>
      </c>
      <c r="AG5">
        <f>(I5+K5)*(45.1/100)*(26.3/100)*(7.12/100)*(6.49/100)</f>
        <v>2.7125292787885606</v>
      </c>
      <c r="AH5" s="3"/>
      <c r="AI5">
        <f>I5*(60.6/100)*(66.4/100)</f>
        <v>1904.6444255999997</v>
      </c>
      <c r="AJ5">
        <f>I5*(60.6/100)*(21.8/100)</f>
        <v>625.32000719999985</v>
      </c>
      <c r="AK5">
        <f t="shared" si="0"/>
        <v>3.0458715596330279</v>
      </c>
      <c r="AL5">
        <v>84.8</v>
      </c>
      <c r="AM5">
        <v>10.5</v>
      </c>
      <c r="AN5">
        <v>0.16</v>
      </c>
      <c r="AO5">
        <v>80.5</v>
      </c>
      <c r="AP5">
        <v>9.35</v>
      </c>
      <c r="AQ5">
        <v>3.73</v>
      </c>
      <c r="AR5">
        <v>0.2</v>
      </c>
      <c r="AS5">
        <v>1.33</v>
      </c>
      <c r="AT5" s="29">
        <v>2.1000000000000001E-2</v>
      </c>
      <c r="AU5">
        <v>1.1599999999999999</v>
      </c>
      <c r="AV5">
        <v>12.8</v>
      </c>
      <c r="AW5">
        <v>1.06</v>
      </c>
      <c r="AX5" s="5">
        <v>0</v>
      </c>
      <c r="AY5" s="5">
        <v>45.8</v>
      </c>
      <c r="AZ5" s="5">
        <v>0</v>
      </c>
      <c r="BA5" s="3">
        <v>0.26</v>
      </c>
      <c r="BB5" s="3">
        <v>0.18</v>
      </c>
      <c r="BC5" s="3">
        <v>0.2</v>
      </c>
      <c r="BD5" s="3">
        <v>1.88</v>
      </c>
      <c r="BE5" s="3">
        <v>3.19</v>
      </c>
      <c r="BF5" s="3">
        <v>2.61</v>
      </c>
      <c r="BG5" s="3">
        <v>23.6</v>
      </c>
      <c r="BH5" s="3">
        <v>2.5499999999999998</v>
      </c>
      <c r="BI5" s="3">
        <v>2</v>
      </c>
    </row>
    <row r="6" spans="1:61" x14ac:dyDescent="0.2">
      <c r="A6" s="1">
        <v>43573</v>
      </c>
      <c r="B6">
        <f>B4+10</f>
        <v>22</v>
      </c>
      <c r="C6">
        <f t="shared" si="1"/>
        <v>3.1428571428571428</v>
      </c>
      <c r="D6" t="s">
        <v>30</v>
      </c>
      <c r="E6" s="3">
        <v>5000</v>
      </c>
      <c r="F6" s="3">
        <v>27.4</v>
      </c>
      <c r="G6" s="2">
        <f t="shared" si="2"/>
        <v>1369.9999999999998</v>
      </c>
      <c r="H6" s="3">
        <v>66.8</v>
      </c>
      <c r="I6" s="2">
        <f t="shared" si="3"/>
        <v>3339.9999999999995</v>
      </c>
      <c r="J6" s="3">
        <v>4.7</v>
      </c>
      <c r="K6" s="2">
        <f t="shared" si="4"/>
        <v>235</v>
      </c>
      <c r="L6" s="3">
        <v>0.5</v>
      </c>
      <c r="M6" s="2">
        <f t="shared" si="5"/>
        <v>25</v>
      </c>
      <c r="N6" s="3">
        <v>0.6</v>
      </c>
      <c r="O6" s="2">
        <f t="shared" si="6"/>
        <v>30</v>
      </c>
      <c r="P6">
        <v>209</v>
      </c>
      <c r="Q6" s="16">
        <f>(I6+K6)*(47.5/100)*(70.4/100)</f>
        <v>1195.48</v>
      </c>
      <c r="R6" s="28">
        <f>(I6+K6)*(51/100)</f>
        <v>1823.2499999999998</v>
      </c>
      <c r="S6" s="3">
        <f>R6*(0.055/100)</f>
        <v>1.0027874999999999</v>
      </c>
      <c r="T6" s="3">
        <f>(I6+K6)*(47.5/100)*(3.5/100)</f>
        <v>59.434374999999996</v>
      </c>
      <c r="U6" s="3">
        <v>68.3</v>
      </c>
      <c r="V6" s="3">
        <f>(I6+K6)*(47.5/100)*(0.55/100)</f>
        <v>9.3396875000000001</v>
      </c>
      <c r="W6">
        <v>38.9</v>
      </c>
      <c r="X6">
        <f>(24/(24+23.3+45.6))*100</f>
        <v>25.834230355220665</v>
      </c>
      <c r="Y6">
        <f>(23.3/(24+23.3+45.6))*100</f>
        <v>25.080731969860064</v>
      </c>
      <c r="Z6">
        <f>(45.6/(24+23.3+45.6))*100</f>
        <v>49.085037674919271</v>
      </c>
      <c r="AA6">
        <f>0</f>
        <v>0</v>
      </c>
      <c r="AB6">
        <f>6.76+0.065</f>
        <v>6.8250000000000002</v>
      </c>
      <c r="AC6">
        <f>34.8+10.3</f>
        <v>45.099999999999994</v>
      </c>
      <c r="AD6">
        <f>81.4+0</f>
        <v>81.400000000000006</v>
      </c>
      <c r="AE6">
        <f>92.3+6.76</f>
        <v>99.06</v>
      </c>
      <c r="AF6">
        <f>49.5+34.8</f>
        <v>84.3</v>
      </c>
      <c r="AG6">
        <f>(I6+K6)*(47.5/100)*(24.6/100)*(7.13/100)*(1.38/100)</f>
        <v>0.41102986567499994</v>
      </c>
      <c r="AI6">
        <f>I6*(53.4/100)*(74.1/100)</f>
        <v>1321.61796</v>
      </c>
      <c r="AJ6">
        <f>I6*(53.4/100)*(15.6/100)</f>
        <v>278.23536000000001</v>
      </c>
      <c r="AK6">
        <f t="shared" si="0"/>
        <v>4.75</v>
      </c>
      <c r="AL6">
        <v>85.8</v>
      </c>
      <c r="AM6">
        <v>8.3800000000000008</v>
      </c>
      <c r="AN6">
        <v>0.28000000000000003</v>
      </c>
      <c r="AO6">
        <v>13.6</v>
      </c>
      <c r="AP6">
        <v>10.3</v>
      </c>
      <c r="AQ6">
        <v>61</v>
      </c>
      <c r="AR6">
        <v>1.06</v>
      </c>
      <c r="AS6">
        <v>1.56</v>
      </c>
      <c r="AT6">
        <v>7.4999999999999997E-2</v>
      </c>
      <c r="AU6">
        <v>3.94</v>
      </c>
      <c r="AV6">
        <v>6.63</v>
      </c>
      <c r="AW6">
        <v>3.04</v>
      </c>
      <c r="AX6">
        <v>10.3</v>
      </c>
      <c r="AY6">
        <v>55.4</v>
      </c>
      <c r="AZ6">
        <v>0.56999999999999995</v>
      </c>
      <c r="BA6">
        <v>2.42</v>
      </c>
      <c r="BB6">
        <v>0.49</v>
      </c>
      <c r="BC6">
        <v>0.22</v>
      </c>
      <c r="BD6">
        <v>7.34</v>
      </c>
      <c r="BE6">
        <v>3.05</v>
      </c>
      <c r="BF6">
        <v>3.42</v>
      </c>
      <c r="BG6">
        <v>8.1999999999999993</v>
      </c>
      <c r="BH6">
        <v>0.65</v>
      </c>
      <c r="BI6">
        <v>0.94</v>
      </c>
    </row>
    <row r="7" spans="1:61" x14ac:dyDescent="0.2">
      <c r="A7" s="1">
        <v>43591</v>
      </c>
      <c r="B7">
        <f>B4+4*7</f>
        <v>40</v>
      </c>
      <c r="C7">
        <f t="shared" si="1"/>
        <v>5.7142857142857144</v>
      </c>
      <c r="D7" t="s">
        <v>31</v>
      </c>
      <c r="E7">
        <v>5900</v>
      </c>
      <c r="F7">
        <v>18.8</v>
      </c>
      <c r="G7" s="2">
        <f t="shared" si="2"/>
        <v>1109.2</v>
      </c>
      <c r="H7">
        <v>75</v>
      </c>
      <c r="I7" s="2">
        <f t="shared" si="3"/>
        <v>4425</v>
      </c>
      <c r="J7">
        <v>4.5</v>
      </c>
      <c r="K7" s="2">
        <f t="shared" si="4"/>
        <v>265.5</v>
      </c>
      <c r="L7">
        <v>0.9</v>
      </c>
      <c r="M7" s="2">
        <f t="shared" si="5"/>
        <v>53.100000000000009</v>
      </c>
      <c r="N7">
        <v>0.8</v>
      </c>
      <c r="O7" s="2">
        <f t="shared" si="6"/>
        <v>47.2</v>
      </c>
      <c r="P7">
        <v>242</v>
      </c>
      <c r="Q7" s="16">
        <f>(I7+K7)*(52.7/100)*(60.8/100)</f>
        <v>1502.9112480000001</v>
      </c>
      <c r="R7" s="28">
        <f>(I7+K7)*(45.5/100)</f>
        <v>2134.1775000000002</v>
      </c>
      <c r="S7" s="3">
        <f>R7*(0.064/100)</f>
        <v>1.3658736000000002</v>
      </c>
      <c r="T7" s="3">
        <f>(I7+K7)*(52.7/100)*(13.4/100)</f>
        <v>331.23372900000004</v>
      </c>
      <c r="U7" s="3">
        <v>84.2</v>
      </c>
      <c r="V7" s="3">
        <f>(I7+K7)*(52.7/100)*(1.21/100)</f>
        <v>29.909911350000002</v>
      </c>
      <c r="W7">
        <v>47.1</v>
      </c>
      <c r="X7">
        <f>(50.5/(50.5+31.1+12.6))*100</f>
        <v>53.609341825902348</v>
      </c>
      <c r="Y7">
        <f>(31.1/(50.5+31.1+12.6))*100</f>
        <v>33.014861995753719</v>
      </c>
      <c r="Z7">
        <f>(12.6/(50.5+31.1+12.6))*100</f>
        <v>13.375796178343952</v>
      </c>
      <c r="AA7">
        <f>0.049+0.00697</f>
        <v>5.5969999999999999E-2</v>
      </c>
      <c r="AB7">
        <f>9.83+0.22</f>
        <v>10.050000000000001</v>
      </c>
      <c r="AC7">
        <f>41.1+36.7</f>
        <v>77.800000000000011</v>
      </c>
      <c r="AD7">
        <f>91.3+0.049</f>
        <v>91.349000000000004</v>
      </c>
      <c r="AE7">
        <f>89.7+9.83</f>
        <v>99.53</v>
      </c>
      <c r="AF7">
        <f>16+41.1</f>
        <v>57.1</v>
      </c>
      <c r="AG7">
        <f>(I7+K7)*(52.7/100)*(23.3/100)*(5.83/100)*(2.9/100)</f>
        <v>0.97376066932485006</v>
      </c>
      <c r="AI7">
        <f>I7*(50.6/100)*(55.7/100)</f>
        <v>1247.1508500000002</v>
      </c>
      <c r="AJ7">
        <f>I7*(50.6/100)*(30.1/100)</f>
        <v>673.95405000000005</v>
      </c>
      <c r="AK7">
        <f>AI7/AJ7</f>
        <v>1.8504983388704321</v>
      </c>
      <c r="AL7">
        <v>92.7</v>
      </c>
      <c r="AM7">
        <v>4.1500000000000004</v>
      </c>
      <c r="AN7">
        <v>0.2</v>
      </c>
      <c r="AO7">
        <v>10.8</v>
      </c>
      <c r="AP7">
        <v>9.23</v>
      </c>
      <c r="AQ7">
        <v>61.1</v>
      </c>
      <c r="AR7">
        <v>0.48</v>
      </c>
      <c r="AS7">
        <v>1.29</v>
      </c>
      <c r="AT7">
        <v>0.06</v>
      </c>
      <c r="AU7">
        <v>1.39</v>
      </c>
      <c r="AV7">
        <v>8.36</v>
      </c>
      <c r="AW7">
        <v>6.89</v>
      </c>
      <c r="AX7">
        <v>0.79</v>
      </c>
      <c r="AY7">
        <v>42.1</v>
      </c>
      <c r="AZ7">
        <v>1.59</v>
      </c>
      <c r="BA7">
        <v>0.96</v>
      </c>
      <c r="BB7">
        <v>0.47</v>
      </c>
      <c r="BC7">
        <v>0.17</v>
      </c>
      <c r="BD7">
        <v>3.66</v>
      </c>
      <c r="BE7">
        <v>3.4</v>
      </c>
      <c r="BF7">
        <v>6.58</v>
      </c>
      <c r="BG7">
        <v>4.5999999999999996</v>
      </c>
      <c r="BH7">
        <v>0.41</v>
      </c>
      <c r="BI7">
        <v>0.88</v>
      </c>
    </row>
    <row r="8" spans="1:61" x14ac:dyDescent="0.2">
      <c r="A8" s="1">
        <v>43605</v>
      </c>
      <c r="B8">
        <f>B4+7*6</f>
        <v>54</v>
      </c>
      <c r="C8">
        <f t="shared" si="1"/>
        <v>7.7142857142857144</v>
      </c>
      <c r="D8" t="s">
        <v>32</v>
      </c>
      <c r="E8">
        <v>10000</v>
      </c>
      <c r="F8">
        <v>18.2</v>
      </c>
      <c r="G8" s="2">
        <f t="shared" si="2"/>
        <v>1820</v>
      </c>
      <c r="H8">
        <v>75.3</v>
      </c>
      <c r="I8" s="2">
        <f t="shared" si="3"/>
        <v>7530</v>
      </c>
      <c r="J8">
        <v>5.3</v>
      </c>
      <c r="K8" s="2">
        <f>E8*(J8/100)</f>
        <v>530</v>
      </c>
      <c r="L8">
        <v>0.3</v>
      </c>
      <c r="M8" s="2">
        <f t="shared" si="5"/>
        <v>30</v>
      </c>
      <c r="N8">
        <v>0.9</v>
      </c>
      <c r="O8" s="2">
        <f t="shared" si="6"/>
        <v>90.000000000000014</v>
      </c>
      <c r="P8">
        <v>379</v>
      </c>
      <c r="Q8" s="16">
        <f>(I8+K8)*(40.7/100)*(79.8/100)</f>
        <v>2617.7751599999997</v>
      </c>
      <c r="R8" s="28">
        <f>(I8+K8)*(56.3/100)</f>
        <v>4537.78</v>
      </c>
      <c r="S8" s="3">
        <f>R8*(0.028/100)</f>
        <v>1.2705784</v>
      </c>
      <c r="T8" s="3">
        <f>(I8+K8)*(40.7/100)*(4.71/100)</f>
        <v>154.50778200000002</v>
      </c>
      <c r="U8" s="3">
        <v>87.8</v>
      </c>
      <c r="V8" s="3">
        <f>(I8+K8)*(40.7/100)*(0.37/100)</f>
        <v>12.137554000000002</v>
      </c>
      <c r="W8">
        <v>44</v>
      </c>
      <c r="X8">
        <f>(41.2/(41.2+35.8+9.48))*100</f>
        <v>47.641073080481036</v>
      </c>
      <c r="Y8">
        <f>(35.8/(41.2+35.8+9.48))*100</f>
        <v>41.396854764107303</v>
      </c>
      <c r="Z8">
        <f>(9.48/(41.2+35.8+9.48))*100</f>
        <v>10.962072155411656</v>
      </c>
      <c r="AA8">
        <f>0.012+0</f>
        <v>1.2E-2</v>
      </c>
      <c r="AB8">
        <f>2.37+0</f>
        <v>2.37</v>
      </c>
      <c r="AC8">
        <f>18.6+1.64</f>
        <v>20.240000000000002</v>
      </c>
      <c r="AD8">
        <f>93.2+0.012</f>
        <v>93.212000000000003</v>
      </c>
      <c r="AE8">
        <f>97+2.37</f>
        <v>99.37</v>
      </c>
      <c r="AF8">
        <f>73.4+18.6</f>
        <v>92</v>
      </c>
      <c r="AG8">
        <f>(I8+K8)*(40.7/100)*(13.2/100)*(13.5/100)*(4.39/100)</f>
        <v>2.5662660051600001</v>
      </c>
      <c r="AI8">
        <f>I8*(59.6/100)*(51/100)</f>
        <v>2288.8188</v>
      </c>
      <c r="AJ8">
        <f>I8*(59.6/100)*(36.4/100)</f>
        <v>1633.5883200000001</v>
      </c>
      <c r="AK8">
        <f>AI8/AJ8</f>
        <v>1.401098901098901</v>
      </c>
      <c r="AL8">
        <v>94.8</v>
      </c>
      <c r="AM8">
        <v>1.93</v>
      </c>
      <c r="AN8">
        <v>0.25</v>
      </c>
      <c r="AO8">
        <v>60.2</v>
      </c>
      <c r="AP8">
        <v>4.53</v>
      </c>
      <c r="AQ8">
        <v>19.5</v>
      </c>
      <c r="AR8">
        <v>0.71</v>
      </c>
      <c r="AS8">
        <v>1.5</v>
      </c>
      <c r="AT8">
        <v>0.19</v>
      </c>
      <c r="AU8">
        <v>1.25</v>
      </c>
      <c r="AV8">
        <v>5.14</v>
      </c>
      <c r="AW8">
        <v>2.29</v>
      </c>
      <c r="AX8">
        <v>0.62</v>
      </c>
      <c r="AY8">
        <v>20.2</v>
      </c>
      <c r="AZ8">
        <v>0</v>
      </c>
      <c r="BA8">
        <v>0.98</v>
      </c>
      <c r="BB8">
        <v>0.47</v>
      </c>
      <c r="BC8">
        <v>0.81</v>
      </c>
      <c r="BD8">
        <v>5.13</v>
      </c>
      <c r="BE8">
        <v>4.91</v>
      </c>
      <c r="BF8">
        <v>1.84</v>
      </c>
      <c r="BG8">
        <v>8.48</v>
      </c>
      <c r="BH8">
        <v>0.43</v>
      </c>
      <c r="BI8">
        <v>0.44</v>
      </c>
    </row>
    <row r="19" spans="1:1" x14ac:dyDescent="0.2">
      <c r="A19" s="5" t="s">
        <v>38</v>
      </c>
    </row>
    <row r="20" spans="1:1" x14ac:dyDescent="0.2">
      <c r="A20" s="4" t="s">
        <v>39</v>
      </c>
    </row>
    <row r="21" spans="1:1" x14ac:dyDescent="0.2">
      <c r="A21" s="17" t="s">
        <v>77</v>
      </c>
    </row>
  </sheetData>
  <mergeCells count="10">
    <mergeCell ref="Q1:AH2"/>
    <mergeCell ref="E1:P2"/>
    <mergeCell ref="BG2:BI2"/>
    <mergeCell ref="AR1:BI1"/>
    <mergeCell ref="AI1:AQ2"/>
    <mergeCell ref="AR2:AT2"/>
    <mergeCell ref="AU2:AW2"/>
    <mergeCell ref="AX2:AZ2"/>
    <mergeCell ref="BA2:BC2"/>
    <mergeCell ref="BD2:BF2"/>
  </mergeCells>
  <pageMargins left="0.7" right="0.7" top="0.75" bottom="0.75" header="0.3" footer="0.3"/>
  <cellWatches>
    <cellWatch r="B1"/>
  </cellWatch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A019-C451-E14E-9B9C-58B72F7FC535}">
  <sheetPr>
    <tabColor rgb="FFFF0000"/>
  </sheetPr>
  <dimension ref="A1:BI21"/>
  <sheetViews>
    <sheetView workbookViewId="0">
      <pane xSplit="4" ySplit="2" topLeftCell="AQ3" activePane="bottomRight" state="frozen"/>
      <selection activeCell="AB8" sqref="AB8"/>
      <selection pane="topRight" activeCell="AB8" sqref="AB8"/>
      <selection pane="bottomLeft" activeCell="AB8" sqref="AB8"/>
      <selection pane="bottomRight" activeCell="BA30" sqref="BA30"/>
    </sheetView>
  </sheetViews>
  <sheetFormatPr baseColWidth="10" defaultRowHeight="16" x14ac:dyDescent="0.2"/>
  <cols>
    <col min="1" max="1" width="12.6640625" customWidth="1"/>
    <col min="2" max="2" width="9.83203125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20" width="24.1640625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9.3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10">
        <v>38317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43577</v>
      </c>
      <c r="B4">
        <v>11</v>
      </c>
      <c r="C4">
        <f>B4/7</f>
        <v>1.5714285714285714</v>
      </c>
      <c r="D4" t="s">
        <v>28</v>
      </c>
      <c r="E4">
        <v>11800</v>
      </c>
      <c r="F4">
        <v>44.9</v>
      </c>
      <c r="G4" s="2">
        <f>E4*(F4/100)</f>
        <v>5298.2</v>
      </c>
      <c r="H4">
        <v>47.3</v>
      </c>
      <c r="I4" s="2">
        <f>E4*(H4/100)</f>
        <v>5581.4</v>
      </c>
      <c r="J4">
        <v>5.9</v>
      </c>
      <c r="K4" s="2">
        <f>E4*(J4/100)</f>
        <v>696.2</v>
      </c>
      <c r="L4">
        <v>0.7</v>
      </c>
      <c r="M4" s="2">
        <f>E4*(L4/100)</f>
        <v>82.6</v>
      </c>
      <c r="N4">
        <v>1.2</v>
      </c>
      <c r="O4" s="2">
        <f>E4*(N4/100)</f>
        <v>141.6</v>
      </c>
      <c r="P4">
        <v>605</v>
      </c>
      <c r="Q4" s="16">
        <f>(I4+K4)*(41.5/100)*(43.5/100)</f>
        <v>1133.2637399999999</v>
      </c>
      <c r="R4" s="28">
        <f>(I4+K4)*(55.7/100)</f>
        <v>3496.6232</v>
      </c>
      <c r="S4" s="3">
        <f>R4*(0.12/100)</f>
        <v>4.1959478399999997</v>
      </c>
      <c r="T4" s="3">
        <f>(I4+K4)*(41.5/100)*(4.13/100)</f>
        <v>107.59492519999998</v>
      </c>
      <c r="U4" s="3">
        <v>86.6</v>
      </c>
      <c r="V4" s="3">
        <f>(I4+K4)*(41.5/100)*(0.34/100)</f>
        <v>8.8576935999999993</v>
      </c>
      <c r="W4">
        <v>37</v>
      </c>
      <c r="X4">
        <f>(77.4/(77.4+10.6+6.64))*100</f>
        <v>81.783601014370248</v>
      </c>
      <c r="Y4">
        <f>(10.6/(77.4+10.6+6.64))*100</f>
        <v>11.200338123415046</v>
      </c>
      <c r="Z4">
        <f>(6.64/(77.4+10.6+6.64))*100</f>
        <v>7.016060862214708</v>
      </c>
      <c r="AA4">
        <f>3.46+0.14</f>
        <v>3.6</v>
      </c>
      <c r="AB4">
        <f>48.8+0.25</f>
        <v>49.05</v>
      </c>
      <c r="AC4">
        <f>55.6+41.2</f>
        <v>96.800000000000011</v>
      </c>
      <c r="AD4">
        <f>87.4+3.46</f>
        <v>90.86</v>
      </c>
      <c r="AE4">
        <f>50.8+48.8</f>
        <v>99.6</v>
      </c>
      <c r="AF4">
        <f>1.31+55.6</f>
        <v>56.910000000000004</v>
      </c>
      <c r="AG4">
        <f>(I4+K4)*(41.5/100)*(50.4/100)*(5.35/100)*(11.4/100)</f>
        <v>8.0081261547839997</v>
      </c>
      <c r="AI4">
        <f>I4*(58.7/100)*(73.8/100)</f>
        <v>2417.8959684000001</v>
      </c>
      <c r="AJ4">
        <f>I4*(58.7/100)*(15.9/100)</f>
        <v>520.92880620000005</v>
      </c>
      <c r="AK4">
        <f>AI4/AJ4</f>
        <v>4.6415094339622636</v>
      </c>
      <c r="AL4">
        <v>82.5</v>
      </c>
      <c r="AM4">
        <v>10.5</v>
      </c>
      <c r="AN4">
        <v>0.11</v>
      </c>
      <c r="AO4">
        <v>46.4</v>
      </c>
      <c r="AP4">
        <v>6.68</v>
      </c>
      <c r="AQ4">
        <v>26.4</v>
      </c>
      <c r="AR4">
        <v>0.1</v>
      </c>
      <c r="AS4">
        <v>3.5</v>
      </c>
      <c r="AT4">
        <v>0.31</v>
      </c>
      <c r="AU4">
        <v>473</v>
      </c>
      <c r="AV4">
        <v>19.2</v>
      </c>
      <c r="AW4">
        <v>4.6900000000000004</v>
      </c>
      <c r="AX4" s="5">
        <v>6.1</v>
      </c>
      <c r="AY4" s="5">
        <v>35.4</v>
      </c>
      <c r="AZ4" s="5">
        <v>8.5399999999999991</v>
      </c>
      <c r="BA4" s="3">
        <v>0.3</v>
      </c>
      <c r="BB4" s="3">
        <v>1.0900000000000001</v>
      </c>
      <c r="BC4" s="3">
        <v>0.6</v>
      </c>
      <c r="BD4" s="3">
        <v>7.81</v>
      </c>
      <c r="BE4" s="3">
        <v>7.45</v>
      </c>
      <c r="BF4" s="3">
        <v>5.66</v>
      </c>
      <c r="BG4" s="3">
        <v>14.6</v>
      </c>
      <c r="BH4" s="3">
        <v>1.3</v>
      </c>
      <c r="BI4" s="3">
        <v>1.43</v>
      </c>
    </row>
    <row r="5" spans="1:61" x14ac:dyDescent="0.2">
      <c r="A5" s="1">
        <f>A4+4</f>
        <v>43581</v>
      </c>
      <c r="B5">
        <f>B4+4</f>
        <v>15</v>
      </c>
      <c r="C5">
        <f t="shared" ref="C5:C8" si="0">B5/7</f>
        <v>2.1428571428571428</v>
      </c>
      <c r="D5" t="s">
        <v>29</v>
      </c>
      <c r="E5">
        <v>10600</v>
      </c>
      <c r="F5">
        <v>45.3</v>
      </c>
      <c r="G5" s="2">
        <f t="shared" ref="G5:G8" si="1">E5*(F5/100)</f>
        <v>4801.7999999999993</v>
      </c>
      <c r="H5">
        <v>49.5</v>
      </c>
      <c r="I5" s="2">
        <f t="shared" ref="I5:I8" si="2">E5*(H5/100)</f>
        <v>5247</v>
      </c>
      <c r="J5">
        <v>3.2</v>
      </c>
      <c r="K5" s="2">
        <f t="shared" ref="K5:K8" si="3">E5*(J5/100)</f>
        <v>339.2</v>
      </c>
      <c r="L5">
        <v>1</v>
      </c>
      <c r="M5" s="2">
        <f t="shared" ref="M5:M8" si="4">E5*(L5/100)</f>
        <v>106</v>
      </c>
      <c r="N5">
        <v>1</v>
      </c>
      <c r="O5" s="2">
        <f t="shared" ref="O5:O8" si="5">E5*(N5/100)</f>
        <v>106</v>
      </c>
      <c r="P5">
        <v>554</v>
      </c>
      <c r="Q5" s="16">
        <f>(I5+K5)*(53/100)*(56.4/100)</f>
        <v>1669.826904</v>
      </c>
      <c r="R5" s="28">
        <f>(I5+K5)*(45.3/100)</f>
        <v>2530.5485999999996</v>
      </c>
      <c r="S5" s="3">
        <f>R5*(0.1/100)</f>
        <v>2.5305485999999995</v>
      </c>
      <c r="T5" s="3">
        <f>(I5+K5)*(53/100)*(5.77/100)</f>
        <v>170.83158219999999</v>
      </c>
      <c r="U5" s="3">
        <v>71</v>
      </c>
      <c r="V5" s="3">
        <f>(I5+K5)*(53/100)*(0.23/100)</f>
        <v>6.8095778000000005</v>
      </c>
      <c r="W5">
        <v>29.8</v>
      </c>
      <c r="X5">
        <f>(82.2/(82.2+8.51+5.54))*100</f>
        <v>85.402597402597394</v>
      </c>
      <c r="Y5">
        <f>(8.51/(82.2+8.51+5.54))*100</f>
        <v>8.8415584415584405</v>
      </c>
      <c r="Z5">
        <f>(5.54/(82.2+8.51+5.54))*100</f>
        <v>5.7558441558441551</v>
      </c>
      <c r="AA5">
        <f>1.27+0.04</f>
        <v>1.31</v>
      </c>
      <c r="AB5">
        <f>43.5+0.47</f>
        <v>43.97</v>
      </c>
      <c r="AC5">
        <f>24.8+68.3</f>
        <v>93.1</v>
      </c>
      <c r="AD5">
        <f>91.5+1.27</f>
        <v>92.77</v>
      </c>
      <c r="AE5">
        <f>55.9+43.5</f>
        <v>99.4</v>
      </c>
      <c r="AF5">
        <f>1.49+24.8</f>
        <v>26.29</v>
      </c>
      <c r="AG5">
        <f>(I5+K5)*(53/100)*(36/100)*(3.72/100)*(10.6/100)</f>
        <v>4.2028477326720006</v>
      </c>
      <c r="AH5" s="3"/>
      <c r="AI5">
        <f>I5*(50.6/100)*(73.6/100)</f>
        <v>1954.066752</v>
      </c>
      <c r="AJ5">
        <f>I5*(50.6/100)*(15.7/100)</f>
        <v>416.83217400000001</v>
      </c>
      <c r="AK5">
        <f>AI5/AJ5</f>
        <v>4.6878980891719744</v>
      </c>
      <c r="AL5">
        <v>86</v>
      </c>
      <c r="AM5">
        <v>9.5500000000000007</v>
      </c>
      <c r="AN5">
        <v>0.21</v>
      </c>
      <c r="AO5">
        <v>49.3</v>
      </c>
      <c r="AP5">
        <v>3.32</v>
      </c>
      <c r="AQ5">
        <v>25</v>
      </c>
      <c r="AR5">
        <v>8.1000000000000003E-2</v>
      </c>
      <c r="AS5">
        <v>2.78</v>
      </c>
      <c r="AT5" s="14">
        <v>0.1</v>
      </c>
      <c r="AU5">
        <v>0.56999999999999995</v>
      </c>
      <c r="AV5">
        <v>25.2</v>
      </c>
      <c r="AW5">
        <v>4.22</v>
      </c>
      <c r="AX5" s="5">
        <v>3.14</v>
      </c>
      <c r="AY5" s="5">
        <v>38.4</v>
      </c>
      <c r="AZ5" s="5">
        <v>1.89</v>
      </c>
      <c r="BA5" s="3">
        <v>0.3</v>
      </c>
      <c r="BB5" s="3">
        <v>0.69</v>
      </c>
      <c r="BC5" s="3">
        <v>0.34</v>
      </c>
      <c r="BD5" s="3">
        <v>1.87</v>
      </c>
      <c r="BE5" s="3">
        <v>17.7</v>
      </c>
      <c r="BF5" s="3">
        <v>8.4</v>
      </c>
      <c r="BG5" s="3">
        <v>17</v>
      </c>
      <c r="BH5" s="3">
        <v>0.82</v>
      </c>
      <c r="BI5" s="3">
        <v>2.0299999999999998</v>
      </c>
    </row>
    <row r="6" spans="1:61" s="3" customFormat="1" x14ac:dyDescent="0.2">
      <c r="A6" s="15">
        <f>A4+10</f>
        <v>43587</v>
      </c>
      <c r="B6" s="3">
        <f>B4+10</f>
        <v>21</v>
      </c>
      <c r="C6" s="3">
        <f t="shared" si="0"/>
        <v>3</v>
      </c>
      <c r="D6" s="3" t="s">
        <v>30</v>
      </c>
      <c r="E6" s="3">
        <v>5600</v>
      </c>
      <c r="F6" s="3">
        <v>20</v>
      </c>
      <c r="G6" s="16">
        <f t="shared" si="1"/>
        <v>1120</v>
      </c>
      <c r="H6" s="3">
        <v>70.2</v>
      </c>
      <c r="I6" s="16">
        <f t="shared" si="2"/>
        <v>3931.2000000000003</v>
      </c>
      <c r="J6" s="3">
        <v>8.6</v>
      </c>
      <c r="K6" s="16">
        <f t="shared" si="3"/>
        <v>481.59999999999997</v>
      </c>
      <c r="L6" s="3">
        <v>0.6</v>
      </c>
      <c r="M6" s="16">
        <f t="shared" si="4"/>
        <v>33.6</v>
      </c>
      <c r="N6" s="3">
        <v>0.6</v>
      </c>
      <c r="O6" s="16">
        <f t="shared" si="5"/>
        <v>33.6</v>
      </c>
      <c r="P6">
        <v>275</v>
      </c>
      <c r="Q6" s="16">
        <f>(I6+K6)*(57.7/100)*(66/100)</f>
        <v>1680.4824960000003</v>
      </c>
      <c r="R6" s="28">
        <f>(I6+K6)*(40.8/100)</f>
        <v>1800.4223999999999</v>
      </c>
      <c r="S6" s="3">
        <f>R6*(0.083/100)</f>
        <v>1.494350592</v>
      </c>
      <c r="T6" s="3">
        <f>(I6+K6)*(57.7/100)*(3/100)</f>
        <v>76.385568000000006</v>
      </c>
      <c r="U6" s="3">
        <v>73.2</v>
      </c>
      <c r="V6" s="3">
        <f>(I6+K6)*(57.7/100)*(0.3/100)</f>
        <v>7.6385568000000008</v>
      </c>
      <c r="W6">
        <v>52</v>
      </c>
      <c r="X6">
        <f>(30.9/(30.9+38.2+24.9))*100</f>
        <v>32.872340425531917</v>
      </c>
      <c r="Y6">
        <f>(38.2/(30.9+38.2+24.9))*100</f>
        <v>40.638297872340431</v>
      </c>
      <c r="Z6">
        <f>(24.9/(30.9+38.2+24.9))*100</f>
        <v>26.489361702127656</v>
      </c>
      <c r="AA6">
        <f>0.14+0</f>
        <v>0.14000000000000001</v>
      </c>
      <c r="AB6">
        <f>27.4+0.062</f>
        <v>27.462</v>
      </c>
      <c r="AC6">
        <f>80.6+6.92</f>
        <v>87.52</v>
      </c>
      <c r="AD6">
        <f>91.4+0.14</f>
        <v>91.54</v>
      </c>
      <c r="AE6">
        <f>72.4+27.4</f>
        <v>99.800000000000011</v>
      </c>
      <c r="AF6">
        <f>11.8+80.6</f>
        <v>92.399999999999991</v>
      </c>
      <c r="AG6">
        <f>(I6+K6)*(57.7/100)*(29.8/100)*(6.01/100)*(1.41/100)</f>
        <v>0.642983615510208</v>
      </c>
      <c r="AH6"/>
      <c r="AI6">
        <f>I6*(49.8/100)*(78.2/100)</f>
        <v>1530.9508032000001</v>
      </c>
      <c r="AJ6">
        <f>I6*(49.8/100)*(11.3/100)</f>
        <v>221.22434880000003</v>
      </c>
      <c r="AK6">
        <f>AI6/AJ6</f>
        <v>6.9203539823008846</v>
      </c>
      <c r="AL6" s="3">
        <v>85.5</v>
      </c>
      <c r="AM6" s="3">
        <v>9.99</v>
      </c>
      <c r="AN6" s="3">
        <v>0.22</v>
      </c>
      <c r="AO6" s="3">
        <v>18</v>
      </c>
      <c r="AP6" s="3">
        <v>6.29</v>
      </c>
      <c r="AQ6" s="3">
        <v>54.9</v>
      </c>
      <c r="AR6" s="3">
        <v>0.3</v>
      </c>
      <c r="AS6" s="3">
        <v>1.47</v>
      </c>
      <c r="AT6" s="3">
        <v>0.13</v>
      </c>
      <c r="AU6" s="3">
        <v>1.06</v>
      </c>
      <c r="AV6" s="3">
        <v>5.56</v>
      </c>
      <c r="AW6" s="3">
        <v>4.7699999999999996</v>
      </c>
      <c r="AX6" s="3">
        <v>15.8</v>
      </c>
      <c r="AY6" s="3">
        <v>41.5</v>
      </c>
      <c r="AZ6" s="3">
        <v>2.92</v>
      </c>
      <c r="BA6" s="3">
        <v>1.51</v>
      </c>
      <c r="BB6" s="3">
        <v>0.24</v>
      </c>
      <c r="BC6" s="3">
        <v>1.22</v>
      </c>
      <c r="BD6" s="3">
        <v>3.9</v>
      </c>
      <c r="BE6" s="3">
        <v>7.24</v>
      </c>
      <c r="BF6" s="3">
        <v>5.57</v>
      </c>
      <c r="BG6" s="3">
        <v>18.100000000000001</v>
      </c>
      <c r="BH6" s="3">
        <v>0.37</v>
      </c>
      <c r="BI6" s="3">
        <v>5.03</v>
      </c>
    </row>
    <row r="7" spans="1:61" x14ac:dyDescent="0.2">
      <c r="A7" s="1">
        <f>A4+28</f>
        <v>43605</v>
      </c>
      <c r="B7">
        <f>B4+4*7</f>
        <v>39</v>
      </c>
      <c r="C7">
        <f t="shared" si="0"/>
        <v>5.5714285714285712</v>
      </c>
      <c r="D7" t="s">
        <v>31</v>
      </c>
      <c r="E7">
        <v>7800</v>
      </c>
      <c r="F7">
        <v>24</v>
      </c>
      <c r="G7" s="16">
        <f t="shared" si="1"/>
        <v>1872</v>
      </c>
      <c r="H7">
        <v>69.599999999999994</v>
      </c>
      <c r="I7" s="16">
        <f t="shared" si="2"/>
        <v>5428.7999999999993</v>
      </c>
      <c r="J7">
        <v>5</v>
      </c>
      <c r="K7" s="16">
        <f t="shared" si="3"/>
        <v>390</v>
      </c>
      <c r="L7">
        <v>0.6</v>
      </c>
      <c r="M7" s="16">
        <f t="shared" si="4"/>
        <v>46.800000000000004</v>
      </c>
      <c r="N7">
        <v>0.8</v>
      </c>
      <c r="O7" s="16">
        <f t="shared" si="5"/>
        <v>62.4</v>
      </c>
      <c r="P7">
        <v>251</v>
      </c>
      <c r="Q7" s="16">
        <f>(I7+K7)*(51.2/100)*(59.4/100)</f>
        <v>1769.6600063999997</v>
      </c>
      <c r="R7" s="28">
        <f>(I7+K7)*(47.1/100)</f>
        <v>2740.6547999999998</v>
      </c>
      <c r="S7" s="3">
        <f>R7*(0.12/100)</f>
        <v>3.2887857599999997</v>
      </c>
      <c r="T7" s="3">
        <f>(I7+K7)*(51.2/100)*(7.14/100)</f>
        <v>212.71670783999997</v>
      </c>
      <c r="U7" s="3">
        <v>86.4</v>
      </c>
      <c r="V7" s="3">
        <f>(I7+K7)*(51.2/100)*(0.52/100)</f>
        <v>15.491973119999997</v>
      </c>
      <c r="W7">
        <v>56.9</v>
      </c>
      <c r="X7">
        <f>(72.4/(72.4+18.8+2.26))*100</f>
        <v>77.466295741493681</v>
      </c>
      <c r="Y7">
        <f>(18.8/(72.4+18.8+2.26))*100</f>
        <v>20.115557457735928</v>
      </c>
      <c r="Z7">
        <f>(2.26/(72.4+18.8+2.26))*100</f>
        <v>2.4181468007703826</v>
      </c>
      <c r="AA7">
        <f>0.028</f>
        <v>2.8000000000000001E-2</v>
      </c>
      <c r="AB7">
        <f>16.9+0.059</f>
        <v>16.959</v>
      </c>
      <c r="AC7">
        <f>69+15.2</f>
        <v>84.2</v>
      </c>
      <c r="AD7">
        <f>92.2+0.028</f>
        <v>92.228000000000009</v>
      </c>
      <c r="AE7">
        <f>83+16.9</f>
        <v>99.9</v>
      </c>
      <c r="AF7">
        <f>9.84+69</f>
        <v>78.84</v>
      </c>
      <c r="AG7">
        <f>(I7+K7)*(51.2/100)*(31.7/100)*(6.55/100)*(5.38/100)</f>
        <v>3.3280223101132802</v>
      </c>
      <c r="AI7">
        <f>I7*(51.2/100)*(63.7/100)</f>
        <v>1770.5705471999997</v>
      </c>
      <c r="AJ7">
        <f>I7*(51.2/100)*(23.3/100)</f>
        <v>647.63412479999988</v>
      </c>
      <c r="AK7">
        <f>AI7/AJ7</f>
        <v>2.7339055793991416</v>
      </c>
      <c r="AL7">
        <v>92.1</v>
      </c>
      <c r="AM7">
        <v>4.92</v>
      </c>
      <c r="AN7">
        <v>0.35</v>
      </c>
      <c r="AO7">
        <v>56.5</v>
      </c>
      <c r="AP7">
        <v>3.77</v>
      </c>
      <c r="AQ7">
        <v>20.3</v>
      </c>
      <c r="AR7">
        <v>0.28000000000000003</v>
      </c>
      <c r="AS7">
        <v>1.49</v>
      </c>
      <c r="AT7">
        <v>0.15</v>
      </c>
      <c r="AU7">
        <v>0.38</v>
      </c>
      <c r="AV7">
        <v>9.75</v>
      </c>
      <c r="AW7">
        <v>1.41</v>
      </c>
      <c r="AX7">
        <v>0.94</v>
      </c>
      <c r="AY7">
        <v>31.1</v>
      </c>
      <c r="AZ7">
        <v>0</v>
      </c>
      <c r="BA7" s="3">
        <v>1.1499999999999999</v>
      </c>
      <c r="BB7" s="3">
        <v>0.95</v>
      </c>
      <c r="BC7" s="3">
        <v>0.75</v>
      </c>
      <c r="BD7" s="3">
        <v>2.79</v>
      </c>
      <c r="BE7" s="3">
        <v>17.5</v>
      </c>
      <c r="BF7" s="3">
        <v>1.99</v>
      </c>
      <c r="BG7" s="3">
        <v>13.9</v>
      </c>
      <c r="BH7" s="3">
        <v>0.84</v>
      </c>
      <c r="BI7" s="3">
        <v>1.88</v>
      </c>
    </row>
    <row r="8" spans="1:61" x14ac:dyDescent="0.2">
      <c r="A8" s="1">
        <f>A4+42</f>
        <v>43619</v>
      </c>
      <c r="B8">
        <f>B4+7*6</f>
        <v>53</v>
      </c>
      <c r="C8">
        <f t="shared" si="0"/>
        <v>7.5714285714285712</v>
      </c>
      <c r="D8" t="s">
        <v>32</v>
      </c>
      <c r="E8">
        <v>9300</v>
      </c>
      <c r="F8">
        <v>25.1</v>
      </c>
      <c r="G8" s="16">
        <f t="shared" si="1"/>
        <v>2334.3000000000002</v>
      </c>
      <c r="H8">
        <v>63.8</v>
      </c>
      <c r="I8" s="16">
        <f t="shared" si="2"/>
        <v>5933.4000000000005</v>
      </c>
      <c r="J8">
        <v>9.5</v>
      </c>
      <c r="K8" s="16">
        <f t="shared" si="3"/>
        <v>883.5</v>
      </c>
      <c r="L8">
        <v>0.6</v>
      </c>
      <c r="M8" s="16">
        <f t="shared" si="4"/>
        <v>55.800000000000004</v>
      </c>
      <c r="N8">
        <v>1</v>
      </c>
      <c r="O8" s="16">
        <f t="shared" si="5"/>
        <v>93</v>
      </c>
      <c r="P8">
        <v>326</v>
      </c>
      <c r="Q8" s="16">
        <f>(I8+K8)*(53.7/100)*(59.6/100)</f>
        <v>2181.7624788000003</v>
      </c>
      <c r="R8" s="28">
        <f>(I8+K8)*(44.6/100)</f>
        <v>3040.3374000000003</v>
      </c>
      <c r="S8" s="3">
        <f>R8*(0.089/100)</f>
        <v>2.7059002860000003</v>
      </c>
      <c r="T8" s="3">
        <f>(I8+K8)*(53.7/100)*(4.45/100)</f>
        <v>162.90005085000004</v>
      </c>
      <c r="U8" s="3">
        <v>89.6</v>
      </c>
      <c r="V8" s="3">
        <f>(I8+K8)*(53.7/100)*(0.2/100)</f>
        <v>7.3213506000000006</v>
      </c>
      <c r="W8">
        <v>64.099999999999994</v>
      </c>
      <c r="X8">
        <f>(72.5/(72.5+21.9+2.47))*100</f>
        <v>74.842572519871993</v>
      </c>
      <c r="Y8">
        <f>(21.9/(72.5+21.9+2.47))*100</f>
        <v>22.607618457726847</v>
      </c>
      <c r="Z8">
        <f>(2.47/(72.5+21.9+2.47))*100</f>
        <v>2.5498090224011563</v>
      </c>
      <c r="AA8">
        <f>0.11+0.00432</f>
        <v>0.11432</v>
      </c>
      <c r="AB8">
        <f>31.7+0.071</f>
        <v>31.771000000000001</v>
      </c>
      <c r="AC8">
        <f>66.5+18.4</f>
        <v>84.9</v>
      </c>
      <c r="AD8">
        <f>82.5+0.11</f>
        <v>82.61</v>
      </c>
      <c r="AE8">
        <f>67.9+31.7</f>
        <v>99.600000000000009</v>
      </c>
      <c r="AF8">
        <f>7.5+66.5</f>
        <v>74</v>
      </c>
      <c r="AG8">
        <f>(I8+K8)*(53.7/100)*(34.5/100)*(3.06/100)*(5.23/100)</f>
        <v>2.0211726801318304</v>
      </c>
      <c r="AI8">
        <f>I8*(51.1/100)*(59.2/100)</f>
        <v>1794.9247008000004</v>
      </c>
      <c r="AJ8">
        <f>I8*(51.1/100)*(27.4/100)</f>
        <v>830.75906759999998</v>
      </c>
      <c r="AK8">
        <f>AI8/AJ8</f>
        <v>2.1605839416058399</v>
      </c>
      <c r="AL8">
        <v>91.4</v>
      </c>
      <c r="AM8">
        <v>4.33</v>
      </c>
      <c r="AN8">
        <v>0.48</v>
      </c>
      <c r="AO8">
        <v>57.5</v>
      </c>
      <c r="AP8">
        <v>3.8</v>
      </c>
      <c r="AQ8">
        <v>16.100000000000001</v>
      </c>
      <c r="AR8">
        <v>0.21</v>
      </c>
      <c r="AS8">
        <v>0.81</v>
      </c>
      <c r="AT8">
        <v>0.19</v>
      </c>
      <c r="AU8">
        <v>1.39</v>
      </c>
      <c r="AV8">
        <v>5.14</v>
      </c>
      <c r="AW8">
        <v>7.17</v>
      </c>
      <c r="AX8" s="5">
        <v>0</v>
      </c>
      <c r="AY8" s="5">
        <v>19.3</v>
      </c>
      <c r="AZ8" s="5">
        <v>2.11</v>
      </c>
      <c r="BA8" s="3">
        <v>1.34</v>
      </c>
      <c r="BB8" s="3">
        <v>0.86</v>
      </c>
      <c r="BC8" s="3">
        <v>0.51</v>
      </c>
      <c r="BD8" s="3">
        <v>5.22</v>
      </c>
      <c r="BE8" s="3">
        <v>9.4700000000000006</v>
      </c>
      <c r="BF8" s="3">
        <v>9.4700000000000006</v>
      </c>
      <c r="BG8" s="3">
        <v>15.6</v>
      </c>
      <c r="BH8" s="3">
        <v>0.44</v>
      </c>
      <c r="BI8" s="3">
        <v>2.2200000000000002</v>
      </c>
    </row>
    <row r="19" spans="1:1" x14ac:dyDescent="0.2">
      <c r="A19" s="5" t="s">
        <v>38</v>
      </c>
    </row>
    <row r="20" spans="1:1" x14ac:dyDescent="0.2">
      <c r="A20" s="4" t="s">
        <v>39</v>
      </c>
    </row>
    <row r="21" spans="1:1" x14ac:dyDescent="0.2">
      <c r="A21" s="17" t="s">
        <v>77</v>
      </c>
    </row>
  </sheetData>
  <mergeCells count="10">
    <mergeCell ref="Q1:AH2"/>
    <mergeCell ref="E1:P2"/>
    <mergeCell ref="AI1:AQ2"/>
    <mergeCell ref="AR1:BI1"/>
    <mergeCell ref="AR2:AT2"/>
    <mergeCell ref="AU2:AW2"/>
    <mergeCell ref="AX2:AZ2"/>
    <mergeCell ref="BA2:BC2"/>
    <mergeCell ref="BD2:BF2"/>
    <mergeCell ref="BG2:BI2"/>
  </mergeCells>
  <pageMargins left="0.7" right="0.7" top="0.75" bottom="0.75" header="0.3" footer="0.3"/>
  <cellWatches>
    <cellWatch r="B1"/>
  </cellWatch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1456-BD6B-8D4A-8CFC-1C123EB1BA97}">
  <sheetPr>
    <tabColor rgb="FF0070C0"/>
  </sheetPr>
  <dimension ref="A1:BK26"/>
  <sheetViews>
    <sheetView workbookViewId="0">
      <pane xSplit="4" ySplit="2" topLeftCell="E3" activePane="bottomRight" state="frozen"/>
      <selection activeCell="R24" sqref="R24"/>
      <selection pane="topRight" activeCell="R24" sqref="R24"/>
      <selection pane="bottomLeft" activeCell="R24" sqref="R24"/>
      <selection pane="bottomRight" activeCell="L30" sqref="L30"/>
    </sheetView>
  </sheetViews>
  <sheetFormatPr baseColWidth="10" defaultRowHeight="16" x14ac:dyDescent="0.2"/>
  <cols>
    <col min="1" max="1" width="18.5" customWidth="1"/>
    <col min="2" max="2" width="9.83203125" style="2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3" x14ac:dyDescent="0.2">
      <c r="A1" s="9">
        <v>38221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3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3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74</v>
      </c>
      <c r="AJ3" t="s">
        <v>75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3" x14ac:dyDescent="0.2">
      <c r="A4" s="1">
        <v>43539</v>
      </c>
      <c r="B4" s="2">
        <v>14</v>
      </c>
      <c r="C4">
        <f>B4/7</f>
        <v>2</v>
      </c>
      <c r="D4" t="s">
        <v>24</v>
      </c>
      <c r="E4">
        <v>3900</v>
      </c>
      <c r="F4">
        <v>52.7</v>
      </c>
      <c r="G4" s="2">
        <f>E4*(F4/100)</f>
        <v>2055.3000000000002</v>
      </c>
      <c r="H4">
        <v>41.9</v>
      </c>
      <c r="I4" s="2">
        <f>E4*(H4/100)</f>
        <v>1634.1</v>
      </c>
      <c r="J4">
        <v>4.0999999999999996</v>
      </c>
      <c r="K4" s="2">
        <f>E4*(J4/100)</f>
        <v>159.89999999999998</v>
      </c>
      <c r="L4">
        <v>0.7</v>
      </c>
      <c r="M4" s="2">
        <f>E4*(L4/100)</f>
        <v>27.299999999999997</v>
      </c>
      <c r="N4">
        <v>0.6</v>
      </c>
      <c r="O4" s="2">
        <f>E4*(N4/100)</f>
        <v>23.400000000000002</v>
      </c>
      <c r="P4">
        <v>709</v>
      </c>
      <c r="Q4" s="16">
        <f>(I4+K4)*(31.9/100)*(37.7/100)</f>
        <v>215.75182200000003</v>
      </c>
      <c r="R4" s="28">
        <f>(I4+K4)*(66.1/100)</f>
        <v>1185.8339999999998</v>
      </c>
      <c r="S4" s="3">
        <f>(I4+K4)*(66.1/100)*(0.11/100)</f>
        <v>1.3044173999999999</v>
      </c>
      <c r="T4" s="3">
        <f>(I4+K4)*(31.9/100)*(15.8/100)</f>
        <v>90.421188000000015</v>
      </c>
      <c r="U4" s="3">
        <v>89</v>
      </c>
      <c r="V4" s="3">
        <f>(I4+K4)*(31.9/100)*(0.57/100)</f>
        <v>3.2620301999999999</v>
      </c>
      <c r="W4">
        <v>44.3</v>
      </c>
      <c r="X4">
        <f>(57.9/(57.9+20.9+12.5))*100</f>
        <v>63.417305585980287</v>
      </c>
      <c r="Y4">
        <f>(20.9/(57.9+20.9+12.5))*100</f>
        <v>22.891566265060241</v>
      </c>
      <c r="Z4">
        <f>(12.5/(57.9+20.9+12.5))*100</f>
        <v>13.691128148959475</v>
      </c>
      <c r="AA4">
        <v>0.02</v>
      </c>
      <c r="AB4">
        <f>15.3+0.66</f>
        <v>15.96</v>
      </c>
      <c r="AC4">
        <f>38.2+50.8</f>
        <v>89</v>
      </c>
      <c r="AD4">
        <f>76.2+0.02</f>
        <v>76.22</v>
      </c>
      <c r="AE4">
        <f>79.3+15.3</f>
        <v>94.6</v>
      </c>
      <c r="AF4">
        <f>4.48+38.2</f>
        <v>42.680000000000007</v>
      </c>
      <c r="AG4">
        <f>(I4+K4)*(31.9/100)*(43.4/100)*(8.65/100)*(5.03/100)</f>
        <v>1.0806546929178003</v>
      </c>
      <c r="AI4">
        <f>I4*(73.9/100)*(73.8/100)</f>
        <v>891.20872620000011</v>
      </c>
      <c r="AJ4">
        <f>I4*(73.9/100)*(16.6/100)</f>
        <v>200.46158340000002</v>
      </c>
      <c r="AK4">
        <f t="shared" ref="AK4:AK8" si="0">AI4/AJ4</f>
        <v>4.4457831325301207</v>
      </c>
      <c r="AL4">
        <v>78.2</v>
      </c>
      <c r="AM4">
        <v>17</v>
      </c>
      <c r="AN4">
        <v>0.18</v>
      </c>
      <c r="AO4">
        <v>81.8</v>
      </c>
      <c r="AP4">
        <v>6.91</v>
      </c>
      <c r="AQ4">
        <v>3.94</v>
      </c>
      <c r="AR4">
        <v>0.12</v>
      </c>
      <c r="AS4">
        <v>1.94</v>
      </c>
      <c r="AT4">
        <v>2.5999999999999999E-2</v>
      </c>
      <c r="AU4">
        <v>1.01</v>
      </c>
      <c r="AV4">
        <v>15.9</v>
      </c>
      <c r="AW4">
        <v>0.45</v>
      </c>
      <c r="AX4" s="5">
        <v>0</v>
      </c>
      <c r="AY4" s="5">
        <v>25.8</v>
      </c>
      <c r="AZ4" s="5">
        <v>1.61</v>
      </c>
      <c r="BA4">
        <v>0.35</v>
      </c>
      <c r="BB4">
        <v>0.31</v>
      </c>
      <c r="BC4">
        <v>6.4000000000000001E-2</v>
      </c>
      <c r="BD4">
        <v>1.33</v>
      </c>
      <c r="BE4">
        <v>6.84</v>
      </c>
      <c r="BF4">
        <v>1.52</v>
      </c>
      <c r="BG4">
        <v>19.7</v>
      </c>
      <c r="BH4">
        <v>0.67</v>
      </c>
      <c r="BI4">
        <v>0.33</v>
      </c>
    </row>
    <row r="5" spans="1:63" x14ac:dyDescent="0.2">
      <c r="A5" s="1">
        <v>43543</v>
      </c>
      <c r="B5" s="2">
        <f>B4+4</f>
        <v>18</v>
      </c>
      <c r="C5">
        <f t="shared" ref="C5:C18" si="1">B5/7</f>
        <v>2.5714285714285716</v>
      </c>
      <c r="D5" t="s">
        <v>25</v>
      </c>
      <c r="E5">
        <v>6000</v>
      </c>
      <c r="F5">
        <v>29.7</v>
      </c>
      <c r="G5" s="2">
        <f t="shared" ref="G5:G18" si="2">E5*(F5/100)</f>
        <v>1782</v>
      </c>
      <c r="H5">
        <v>62</v>
      </c>
      <c r="I5" s="2">
        <f t="shared" ref="I5:I13" si="3">E5*(H5/100)</f>
        <v>3720</v>
      </c>
      <c r="J5">
        <v>6.7</v>
      </c>
      <c r="K5" s="2">
        <f t="shared" ref="K5:K18" si="4">E5*(J5/100)</f>
        <v>402</v>
      </c>
      <c r="L5">
        <v>1</v>
      </c>
      <c r="M5" s="2">
        <f t="shared" ref="M5:M18" si="5">E5*(L5/100)</f>
        <v>60</v>
      </c>
      <c r="N5">
        <v>0.6</v>
      </c>
      <c r="O5" s="2">
        <f t="shared" ref="O5:O18" si="6">E5*(N5/100)</f>
        <v>36</v>
      </c>
      <c r="P5">
        <v>748</v>
      </c>
      <c r="Q5" s="16">
        <f>(I5+K5)*(38.8/100)*(32.1/100)</f>
        <v>513.38685599999997</v>
      </c>
      <c r="R5" s="28">
        <f>(I5+K5)*(54.4/100)</f>
        <v>2242.3679999999999</v>
      </c>
      <c r="S5" s="3">
        <f>(I5+K5)*(54.4/100)*(0.29/100)</f>
        <v>6.502867199999999</v>
      </c>
      <c r="T5" s="3">
        <f>(I5+K5)*(38.8/100)*(29.6/100)</f>
        <v>473.40345600000001</v>
      </c>
      <c r="U5" s="3">
        <v>86.9</v>
      </c>
      <c r="V5" s="3">
        <f>(I5+K5)*(38.8/100)*(2.28/100)</f>
        <v>36.46486079999999</v>
      </c>
      <c r="W5" s="3">
        <v>74.2</v>
      </c>
      <c r="X5">
        <f>(66.4/(66.4+17.1+6.95))*100</f>
        <v>73.410724156992814</v>
      </c>
      <c r="Y5">
        <f>(17.1/(66.4+17.1+6.95))*100</f>
        <v>18.905472636815919</v>
      </c>
      <c r="Z5">
        <f>(6.95/(66.4+17.1+6.95))*100</f>
        <v>7.683803206191266</v>
      </c>
      <c r="AA5">
        <f>0.81+0.22</f>
        <v>1.03</v>
      </c>
      <c r="AB5">
        <f>35.3+3.16</f>
        <v>38.459999999999994</v>
      </c>
      <c r="AC5">
        <f>33.6+61.3</f>
        <v>94.9</v>
      </c>
      <c r="AD5">
        <f>73.9+0.81</f>
        <v>74.710000000000008</v>
      </c>
      <c r="AE5">
        <f>35.3+52.6</f>
        <v>87.9</v>
      </c>
      <c r="AF5">
        <f>33.6+1.23</f>
        <v>34.83</v>
      </c>
      <c r="AG5">
        <f>(I5+K5)*(38.8/100)*(29.2/100)*(9.58/100)*(4.86/100)</f>
        <v>2.17432441673856</v>
      </c>
      <c r="AH5" s="3"/>
      <c r="AI5">
        <f>I5*(61.9/100)*(69.9/100)</f>
        <v>1609.57332</v>
      </c>
      <c r="AJ5">
        <f>I5*(61.9/100)*(18.1/100)</f>
        <v>416.78507999999999</v>
      </c>
      <c r="AK5">
        <f t="shared" si="0"/>
        <v>3.8618784530386741</v>
      </c>
      <c r="AL5">
        <v>85.9</v>
      </c>
      <c r="AM5">
        <v>11.1</v>
      </c>
      <c r="AN5">
        <v>0.12</v>
      </c>
      <c r="AO5">
        <v>83.5</v>
      </c>
      <c r="AP5">
        <v>4.8600000000000003</v>
      </c>
      <c r="AQ5">
        <v>5.62</v>
      </c>
      <c r="AR5">
        <v>0.34</v>
      </c>
      <c r="AS5">
        <v>2.76</v>
      </c>
      <c r="AT5">
        <v>0.15</v>
      </c>
      <c r="AU5">
        <v>2.77</v>
      </c>
      <c r="AV5">
        <v>20.5</v>
      </c>
      <c r="AW5">
        <v>1.74</v>
      </c>
      <c r="AX5" s="5">
        <v>3.26</v>
      </c>
      <c r="AY5" s="5">
        <v>32.6</v>
      </c>
      <c r="AZ5" s="5">
        <v>0</v>
      </c>
      <c r="BA5" s="3">
        <v>0.57999999999999996</v>
      </c>
      <c r="BB5" s="3">
        <v>0.45</v>
      </c>
      <c r="BC5" s="3">
        <v>0.38</v>
      </c>
      <c r="BD5" s="3">
        <v>3.79</v>
      </c>
      <c r="BE5" s="3">
        <v>6.29</v>
      </c>
      <c r="BF5" s="3">
        <v>8.98</v>
      </c>
      <c r="BG5" s="3">
        <v>18.8</v>
      </c>
      <c r="BH5" s="3">
        <v>2.76</v>
      </c>
      <c r="BI5" s="3">
        <v>3.2</v>
      </c>
      <c r="BJ5" s="3"/>
    </row>
    <row r="6" spans="1:63" x14ac:dyDescent="0.2">
      <c r="A6" s="6">
        <v>43549</v>
      </c>
      <c r="B6" s="7">
        <f>B4+10</f>
        <v>24</v>
      </c>
      <c r="C6" s="4">
        <f t="shared" si="1"/>
        <v>3.4285714285714284</v>
      </c>
      <c r="D6" s="4" t="s">
        <v>26</v>
      </c>
      <c r="E6" s="3">
        <v>4500</v>
      </c>
      <c r="F6" s="3">
        <v>50.9</v>
      </c>
      <c r="G6" s="2">
        <f t="shared" si="2"/>
        <v>2290.5</v>
      </c>
      <c r="H6" s="3">
        <v>43.3</v>
      </c>
      <c r="I6" s="2">
        <f t="shared" si="3"/>
        <v>1948.5</v>
      </c>
      <c r="J6" s="3">
        <v>4.7</v>
      </c>
      <c r="K6" s="2">
        <f t="shared" si="4"/>
        <v>211.5</v>
      </c>
      <c r="L6" s="3">
        <v>0.7</v>
      </c>
      <c r="M6" s="2">
        <f t="shared" si="5"/>
        <v>31.499999999999996</v>
      </c>
      <c r="N6" s="3">
        <v>0.4</v>
      </c>
      <c r="O6" s="2">
        <f t="shared" si="6"/>
        <v>18</v>
      </c>
      <c r="P6">
        <v>451</v>
      </c>
      <c r="Q6" s="16" t="s">
        <v>136</v>
      </c>
      <c r="R6" s="16" t="s">
        <v>136</v>
      </c>
      <c r="S6" s="16" t="s">
        <v>136</v>
      </c>
      <c r="T6" s="16" t="s">
        <v>136</v>
      </c>
      <c r="U6" s="16" t="s">
        <v>136</v>
      </c>
      <c r="V6" s="16" t="s">
        <v>136</v>
      </c>
      <c r="W6" s="16" t="s">
        <v>136</v>
      </c>
      <c r="X6" s="16" t="s">
        <v>136</v>
      </c>
      <c r="Y6" s="16" t="s">
        <v>136</v>
      </c>
      <c r="Z6" s="16" t="s">
        <v>136</v>
      </c>
      <c r="AA6" s="16" t="s">
        <v>136</v>
      </c>
      <c r="AB6" s="16" t="s">
        <v>136</v>
      </c>
      <c r="AC6" s="16" t="s">
        <v>136</v>
      </c>
      <c r="AD6" s="16" t="s">
        <v>136</v>
      </c>
      <c r="AE6" s="16" t="s">
        <v>136</v>
      </c>
      <c r="AF6" s="16" t="s">
        <v>136</v>
      </c>
      <c r="AG6" s="16" t="s">
        <v>136</v>
      </c>
      <c r="AI6" s="4"/>
      <c r="AJ6" s="4"/>
      <c r="AK6" s="4"/>
      <c r="AN6" s="3"/>
      <c r="AO6" s="4"/>
      <c r="AP6" s="4"/>
      <c r="AQ6" s="4"/>
      <c r="AX6" s="5"/>
      <c r="AY6" s="5"/>
      <c r="AZ6" s="5"/>
      <c r="BA6" s="4"/>
      <c r="BB6" s="4"/>
      <c r="BC6" s="4"/>
      <c r="BD6" s="4"/>
      <c r="BE6" s="4"/>
      <c r="BF6" s="4"/>
      <c r="BG6" s="4"/>
      <c r="BH6" s="4"/>
      <c r="BI6" s="4"/>
      <c r="BJ6" s="5"/>
      <c r="BK6" s="5"/>
    </row>
    <row r="7" spans="1:63" x14ac:dyDescent="0.2">
      <c r="A7" s="1">
        <v>43567</v>
      </c>
      <c r="B7" s="2">
        <f>B4+7*4</f>
        <v>42</v>
      </c>
      <c r="C7">
        <f t="shared" si="1"/>
        <v>6</v>
      </c>
      <c r="D7" t="s">
        <v>33</v>
      </c>
      <c r="E7">
        <v>4200</v>
      </c>
      <c r="F7">
        <v>21.1</v>
      </c>
      <c r="G7" s="2">
        <f t="shared" si="2"/>
        <v>886.2</v>
      </c>
      <c r="H7">
        <v>74</v>
      </c>
      <c r="I7" s="2">
        <f t="shared" si="3"/>
        <v>3108</v>
      </c>
      <c r="J7">
        <v>3</v>
      </c>
      <c r="K7" s="2">
        <f t="shared" si="4"/>
        <v>126</v>
      </c>
      <c r="L7">
        <v>1.1000000000000001</v>
      </c>
      <c r="M7" s="2">
        <f t="shared" si="5"/>
        <v>46.2</v>
      </c>
      <c r="N7">
        <v>0.8</v>
      </c>
      <c r="O7" s="2">
        <f t="shared" si="6"/>
        <v>33.6</v>
      </c>
      <c r="P7">
        <v>444</v>
      </c>
      <c r="Q7" s="16">
        <f>(I7+K7)*(42.4/100)*(69.8/100)</f>
        <v>957.10876799999983</v>
      </c>
      <c r="R7" s="28">
        <f>(I7+K7)*(55.4/100)</f>
        <v>1791.6359999999997</v>
      </c>
      <c r="S7" s="3">
        <f>R7*(0.18/100)</f>
        <v>3.2249447999999994</v>
      </c>
      <c r="T7" s="3">
        <f>(I7+K7)*(42.4/100)*(9.11/100)</f>
        <v>124.91777759999999</v>
      </c>
      <c r="U7" s="3">
        <v>84.7</v>
      </c>
      <c r="V7" s="3">
        <f>(I7+K7)*(42.4/100)*(0.41/100)</f>
        <v>5.6219855999999986</v>
      </c>
      <c r="W7" s="3">
        <v>38.799999999999997</v>
      </c>
      <c r="X7">
        <f>(62.5/(62.5+22.1+4.16))*100</f>
        <v>70.414601171698976</v>
      </c>
      <c r="Y7">
        <f>(22.1/(62.5+22.1+4.16))*100</f>
        <v>24.898602974312759</v>
      </c>
      <c r="Z7">
        <f>(4.16/(62.5+22.1+4.16))*100</f>
        <v>4.6867958539882837</v>
      </c>
      <c r="AA7">
        <f>0.47+0.09</f>
        <v>0.55999999999999994</v>
      </c>
      <c r="AB7">
        <f>13.2+1.15</f>
        <v>14.35</v>
      </c>
      <c r="AC7">
        <f>15.8+81.5</f>
        <v>97.3</v>
      </c>
      <c r="AD7">
        <f>82.8+0.47</f>
        <v>83.27</v>
      </c>
      <c r="AE7">
        <f>84.8+13.2</f>
        <v>98</v>
      </c>
      <c r="AF7">
        <f>0.68+15.8</f>
        <v>16.48</v>
      </c>
      <c r="AG7">
        <f>(I7+K7)*(42.4/100)*(16.1/100)*(11.3/100)*(4.42/100)</f>
        <v>1.1026367448095997</v>
      </c>
      <c r="AI7" s="3">
        <f>I7*(60.7/100)*(70.9/100)</f>
        <v>1337.5682040000002</v>
      </c>
      <c r="AJ7" s="3">
        <f>I7*(60.7/100)*(18.1/100)</f>
        <v>341.46663600000005</v>
      </c>
      <c r="AK7">
        <f t="shared" si="0"/>
        <v>3.9171270718232041</v>
      </c>
      <c r="AL7">
        <v>80</v>
      </c>
      <c r="AM7">
        <v>12.8</v>
      </c>
      <c r="AN7">
        <v>0.25</v>
      </c>
      <c r="AO7">
        <v>80.2</v>
      </c>
      <c r="AP7">
        <v>7.42</v>
      </c>
      <c r="AQ7">
        <v>4.04</v>
      </c>
      <c r="AR7">
        <v>0.14000000000000001</v>
      </c>
      <c r="AS7">
        <v>2.35</v>
      </c>
      <c r="AT7">
        <v>0.05</v>
      </c>
      <c r="AU7">
        <v>1.47</v>
      </c>
      <c r="AV7">
        <v>9.67</v>
      </c>
      <c r="AW7">
        <v>0.71</v>
      </c>
      <c r="AX7" s="3">
        <v>7.43</v>
      </c>
      <c r="AY7" s="3">
        <v>29.7</v>
      </c>
      <c r="AZ7" s="3">
        <v>0.68</v>
      </c>
      <c r="BA7" s="3">
        <v>0.11</v>
      </c>
      <c r="BB7" s="3">
        <v>0.33</v>
      </c>
      <c r="BC7" s="3">
        <v>0.19</v>
      </c>
      <c r="BD7" s="3">
        <v>2.2000000000000002</v>
      </c>
      <c r="BE7" s="3">
        <v>2.38</v>
      </c>
      <c r="BF7" s="3">
        <v>5.63</v>
      </c>
      <c r="BG7" s="3">
        <v>7.75</v>
      </c>
      <c r="BH7" s="3">
        <v>0.48</v>
      </c>
      <c r="BI7" s="3">
        <v>4.8499999999999996</v>
      </c>
    </row>
    <row r="8" spans="1:63" x14ac:dyDescent="0.2">
      <c r="A8" s="1">
        <v>43581</v>
      </c>
      <c r="B8" s="2">
        <f>B4+7*6</f>
        <v>56</v>
      </c>
      <c r="C8">
        <f t="shared" si="1"/>
        <v>8</v>
      </c>
      <c r="D8" t="s">
        <v>34</v>
      </c>
      <c r="E8">
        <v>5400</v>
      </c>
      <c r="F8">
        <v>28.3</v>
      </c>
      <c r="G8" s="2">
        <f t="shared" si="2"/>
        <v>1528.2</v>
      </c>
      <c r="H8">
        <v>67.7</v>
      </c>
      <c r="I8" s="2">
        <f t="shared" si="3"/>
        <v>3655.8</v>
      </c>
      <c r="J8">
        <v>2.2000000000000002</v>
      </c>
      <c r="K8" s="2">
        <f t="shared" si="4"/>
        <v>118.80000000000001</v>
      </c>
      <c r="L8">
        <v>1.2</v>
      </c>
      <c r="M8" s="2">
        <f t="shared" si="5"/>
        <v>64.8</v>
      </c>
      <c r="N8">
        <v>0.6</v>
      </c>
      <c r="O8" s="2">
        <f t="shared" si="6"/>
        <v>32.4</v>
      </c>
      <c r="P8">
        <v>473</v>
      </c>
      <c r="Q8" s="16">
        <f>(I8+K8)*(46.3/100)*(70.8/100)</f>
        <v>1237.3289784000001</v>
      </c>
      <c r="R8" s="28">
        <f>(I8+K8)*(51.7/100)</f>
        <v>1951.4682000000003</v>
      </c>
      <c r="S8" s="3">
        <f>R8*(0.11/100)</f>
        <v>2.1466150200000005</v>
      </c>
      <c r="T8" s="3">
        <f>(I8+K8)*(46.3/100)*(13.9/100)</f>
        <v>242.92193220000004</v>
      </c>
      <c r="U8" s="3">
        <v>89.8</v>
      </c>
      <c r="V8" s="3">
        <f>(I8+K8)*(46.3/100)*(0.79/100)</f>
        <v>13.806354420000002</v>
      </c>
      <c r="W8" s="3">
        <v>50.5</v>
      </c>
      <c r="X8">
        <f>(65.9/(65.9+13.9+5.93))*100</f>
        <v>76.86924063921613</v>
      </c>
      <c r="Y8">
        <f>(13.9/(65.9+13.9+5.93))*100</f>
        <v>16.213694156071384</v>
      </c>
      <c r="Z8">
        <f>(5.93/(65.9+13.9+5.93))*100</f>
        <v>6.9170652047124674</v>
      </c>
      <c r="AA8">
        <f>1.32+0.12</f>
        <v>1.44</v>
      </c>
      <c r="AB8">
        <f>24.6+0.29</f>
        <v>24.89</v>
      </c>
      <c r="AC8">
        <f>7.68+86.7</f>
        <v>94.38</v>
      </c>
      <c r="AD8">
        <f>91.8+1.32</f>
        <v>93.11999999999999</v>
      </c>
      <c r="AE8">
        <f>74.7+24.6</f>
        <v>99.300000000000011</v>
      </c>
      <c r="AF8">
        <f>0.55+7.68</f>
        <v>8.23</v>
      </c>
      <c r="AG8">
        <f>(I8+K8)*(46.3/100)*(13/100)*(14.3/100)*(7.23/100)</f>
        <v>2.3489275066686006</v>
      </c>
      <c r="AI8" s="3">
        <f>I8*(54.1/100)*(70.7/100)</f>
        <v>1398.2959746000004</v>
      </c>
      <c r="AJ8" s="3">
        <f>I8*(54.1/100)*(18/100)</f>
        <v>356.00180400000005</v>
      </c>
      <c r="AK8">
        <f t="shared" si="0"/>
        <v>3.927777777777778</v>
      </c>
      <c r="AL8">
        <v>84.1</v>
      </c>
      <c r="AM8">
        <v>11.6</v>
      </c>
      <c r="AN8">
        <v>8.5999999999999993E-2</v>
      </c>
      <c r="AO8">
        <v>60.8</v>
      </c>
      <c r="AP8">
        <v>5.33</v>
      </c>
      <c r="AQ8">
        <v>12.8</v>
      </c>
      <c r="AR8">
        <v>8.8999999999999996E-2</v>
      </c>
      <c r="AS8">
        <v>3.18</v>
      </c>
      <c r="AT8">
        <v>6.0999999999999999E-2</v>
      </c>
      <c r="AU8">
        <v>0.47</v>
      </c>
      <c r="AV8">
        <v>13</v>
      </c>
      <c r="AW8">
        <v>2.08</v>
      </c>
      <c r="AX8" s="5">
        <v>4.05</v>
      </c>
      <c r="AY8" s="5">
        <v>36.5</v>
      </c>
      <c r="AZ8" s="5">
        <v>0</v>
      </c>
      <c r="BA8" s="3">
        <v>0.15</v>
      </c>
      <c r="BB8" s="3">
        <v>0.57999999999999996</v>
      </c>
      <c r="BC8" s="3">
        <v>0.32</v>
      </c>
      <c r="BD8" s="3">
        <v>0.86</v>
      </c>
      <c r="BE8" s="3">
        <v>5.49</v>
      </c>
      <c r="BF8" s="3">
        <v>7.98</v>
      </c>
      <c r="BG8" s="3">
        <v>3.35</v>
      </c>
      <c r="BH8" s="3">
        <v>0.56999999999999995</v>
      </c>
      <c r="BI8" s="3">
        <v>3.1</v>
      </c>
    </row>
    <row r="9" spans="1:63" x14ac:dyDescent="0.2">
      <c r="A9" s="1">
        <v>43595</v>
      </c>
      <c r="B9" s="2">
        <f>B4+7*8</f>
        <v>70</v>
      </c>
      <c r="C9">
        <f t="shared" si="1"/>
        <v>10</v>
      </c>
      <c r="D9" t="s">
        <v>35</v>
      </c>
      <c r="E9">
        <v>5500</v>
      </c>
      <c r="F9">
        <v>26.7</v>
      </c>
      <c r="G9" s="2">
        <f t="shared" si="2"/>
        <v>1468.5</v>
      </c>
      <c r="H9">
        <v>69.2</v>
      </c>
      <c r="I9" s="2">
        <f t="shared" si="3"/>
        <v>3806.0000000000005</v>
      </c>
      <c r="J9">
        <v>2.6</v>
      </c>
      <c r="K9" s="2">
        <f t="shared" si="4"/>
        <v>143</v>
      </c>
      <c r="L9">
        <v>0.7</v>
      </c>
      <c r="M9" s="2">
        <f t="shared" si="5"/>
        <v>38.499999999999993</v>
      </c>
      <c r="N9">
        <v>0.8</v>
      </c>
      <c r="O9" s="2">
        <f t="shared" si="6"/>
        <v>44</v>
      </c>
      <c r="P9" s="2">
        <v>434</v>
      </c>
      <c r="Q9" s="16">
        <f>(I9+K9)*(41.4/100)*(69.6/100)</f>
        <v>1137.880656</v>
      </c>
      <c r="R9" s="28">
        <f>(I9+K9)*(56/100)</f>
        <v>2211.4400000000005</v>
      </c>
      <c r="S9" s="3">
        <f>R9*(0.086/100)</f>
        <v>1.9018384000000004</v>
      </c>
      <c r="T9" s="3">
        <f>(I9+K9)*(41.4/100)*(13.8/100)</f>
        <v>225.61426800000004</v>
      </c>
      <c r="U9" s="3">
        <v>86.5</v>
      </c>
      <c r="V9" s="3">
        <f>(I9+K9)*(41.4/100)*(1.07/100)</f>
        <v>17.493280200000004</v>
      </c>
      <c r="W9" s="3">
        <v>48.1</v>
      </c>
      <c r="X9">
        <f>(61.6/(61.6+14.6+8.28))*100</f>
        <v>72.916666666666657</v>
      </c>
      <c r="Y9">
        <f>(14.6/(61.6+14.6+8.28))*100</f>
        <v>17.282196969696969</v>
      </c>
      <c r="Z9">
        <f>(8.28/(61.6+14.6+8.28))*100</f>
        <v>9.8011363636363615</v>
      </c>
      <c r="AA9">
        <f>1.12+0.042</f>
        <v>1.1620000000000001</v>
      </c>
      <c r="AB9">
        <f>36.8+0.35</f>
        <v>37.15</v>
      </c>
      <c r="AC9">
        <f>14.2+80.4</f>
        <v>94.600000000000009</v>
      </c>
      <c r="AD9">
        <f>91.1+1.12</f>
        <v>92.22</v>
      </c>
      <c r="AE9">
        <f>62.5+36.8</f>
        <v>99.3</v>
      </c>
      <c r="AF9">
        <f>0.41+14.2</f>
        <v>14.61</v>
      </c>
      <c r="AG9">
        <f>(I9+K9)*(41.4/100)*(14.2/100)*(15.5/100)*(7.26/100)</f>
        <v>2.6124268464360001</v>
      </c>
      <c r="AI9" s="3">
        <f>I9*(58.1/100)*(70.5/100)</f>
        <v>1558.9566299999999</v>
      </c>
      <c r="AJ9" s="3">
        <f>I9*(58.1/100)*(17.6/100)</f>
        <v>389.18633600000004</v>
      </c>
      <c r="AK9">
        <f t="shared" ref="AK9:AK14" si="7">AI9/AJ9</f>
        <v>4.0056818181818175</v>
      </c>
      <c r="AL9">
        <v>84.7</v>
      </c>
      <c r="AM9">
        <v>10.6</v>
      </c>
      <c r="AN9">
        <v>0.18</v>
      </c>
      <c r="AO9">
        <v>59.3</v>
      </c>
      <c r="AP9">
        <v>5.27</v>
      </c>
      <c r="AQ9">
        <v>16</v>
      </c>
      <c r="AR9">
        <v>0.14000000000000001</v>
      </c>
      <c r="AS9">
        <v>3.1</v>
      </c>
      <c r="AT9">
        <v>5.5E-2</v>
      </c>
      <c r="AU9">
        <v>0.65</v>
      </c>
      <c r="AV9">
        <v>14.3</v>
      </c>
      <c r="AW9">
        <v>1.46</v>
      </c>
      <c r="AX9" s="5">
        <v>2.31</v>
      </c>
      <c r="AY9" s="5">
        <v>33.799999999999997</v>
      </c>
      <c r="AZ9" s="5">
        <v>1.54</v>
      </c>
      <c r="BA9" s="3">
        <v>0.13</v>
      </c>
      <c r="BB9" s="3">
        <v>0.5</v>
      </c>
      <c r="BC9" s="3">
        <v>0.37</v>
      </c>
      <c r="BD9" s="3">
        <v>0.73</v>
      </c>
      <c r="BE9" s="3">
        <v>4.6900000000000004</v>
      </c>
      <c r="BF9" s="3">
        <v>6.77</v>
      </c>
      <c r="BG9" s="3">
        <v>3.84</v>
      </c>
      <c r="BH9" s="3">
        <v>0.69</v>
      </c>
      <c r="BI9" s="3">
        <v>1.58</v>
      </c>
    </row>
    <row r="10" spans="1:63" x14ac:dyDescent="0.2">
      <c r="A10" s="1">
        <v>43609</v>
      </c>
      <c r="B10" s="2">
        <f>B4+7*10</f>
        <v>84</v>
      </c>
      <c r="C10">
        <f t="shared" si="1"/>
        <v>12</v>
      </c>
      <c r="D10" t="s">
        <v>36</v>
      </c>
      <c r="E10">
        <v>5700</v>
      </c>
      <c r="F10">
        <v>25.9</v>
      </c>
      <c r="G10" s="2">
        <f t="shared" si="2"/>
        <v>1476.3</v>
      </c>
      <c r="H10">
        <v>71</v>
      </c>
      <c r="I10" s="2">
        <f t="shared" si="3"/>
        <v>4047</v>
      </c>
      <c r="J10">
        <v>2.1</v>
      </c>
      <c r="K10" s="2">
        <f t="shared" si="4"/>
        <v>119.7</v>
      </c>
      <c r="L10">
        <v>0.5</v>
      </c>
      <c r="M10" s="2">
        <f t="shared" si="5"/>
        <v>28.5</v>
      </c>
      <c r="N10">
        <v>0.5</v>
      </c>
      <c r="O10" s="2">
        <f t="shared" si="6"/>
        <v>28.5</v>
      </c>
      <c r="P10" s="2">
        <v>421</v>
      </c>
      <c r="Q10" s="16">
        <f>(I10+K10)*(42.9/100)*(63.9/100)</f>
        <v>1142.2216377</v>
      </c>
      <c r="R10" s="28">
        <f>(I10+K10)*(53.9/100)</f>
        <v>2245.8513000000003</v>
      </c>
      <c r="S10" s="3">
        <f>R10*(0.084/100)</f>
        <v>1.8865150920000002</v>
      </c>
      <c r="T10" s="3">
        <f>(I10+K10)*(42.9/100)*(19.2/100)</f>
        <v>343.20274559999996</v>
      </c>
      <c r="U10" s="3">
        <v>88.3</v>
      </c>
      <c r="V10" s="3">
        <f>(I10+K10)*(42.9/100)*(1.53/100)</f>
        <v>27.348968790000001</v>
      </c>
      <c r="W10" s="3">
        <v>57.8</v>
      </c>
      <c r="X10">
        <f>(53.2/(53.2+23.2+10.8))*100</f>
        <v>61.009174311926607</v>
      </c>
      <c r="Y10">
        <f>(23.2/(53.2+23.2+10.8))*100</f>
        <v>26.605504587155959</v>
      </c>
      <c r="Z10">
        <f>(10.8/(53.2+23.2+10.8))*100</f>
        <v>12.385321100917432</v>
      </c>
      <c r="AA10">
        <f>1.11+0.077</f>
        <v>1.1870000000000001</v>
      </c>
      <c r="AB10">
        <f>27.9+0.38</f>
        <v>28.279999999999998</v>
      </c>
      <c r="AC10">
        <f>17.4+77.4</f>
        <v>94.800000000000011</v>
      </c>
      <c r="AD10">
        <f>90.7+1.11</f>
        <v>91.81</v>
      </c>
      <c r="AE10">
        <f>71.4+27.9</f>
        <v>99.300000000000011</v>
      </c>
      <c r="AF10">
        <f>0.57+17.4</f>
        <v>17.97</v>
      </c>
      <c r="AG10">
        <f>(I10+K10)*(42.9/100)*(13.5/100)*(12.8/100)*(6.5/100)</f>
        <v>2.0077360617599997</v>
      </c>
      <c r="AI10" s="3">
        <f>I10*(57.9/100)*(72.3/100)</f>
        <v>1694.1429989999997</v>
      </c>
      <c r="AJ10" s="3">
        <f>I10*(57.9/100)*(16.9/100)</f>
        <v>396.00299699999994</v>
      </c>
      <c r="AK10">
        <f t="shared" si="7"/>
        <v>4.27810650887574</v>
      </c>
      <c r="AL10">
        <v>85.2</v>
      </c>
      <c r="AM10">
        <v>9.61</v>
      </c>
      <c r="AN10">
        <v>0.12</v>
      </c>
      <c r="AO10">
        <v>77.7</v>
      </c>
      <c r="AP10">
        <v>6.17</v>
      </c>
      <c r="AQ10">
        <v>7.55</v>
      </c>
      <c r="AR10">
        <v>0.18</v>
      </c>
      <c r="AS10">
        <v>3.33</v>
      </c>
      <c r="AT10">
        <v>0.28000000000000003</v>
      </c>
      <c r="AU10">
        <v>1.2</v>
      </c>
      <c r="AV10">
        <v>12.4</v>
      </c>
      <c r="AW10">
        <v>2.2000000000000002</v>
      </c>
      <c r="AX10" s="5">
        <v>1.5</v>
      </c>
      <c r="AY10" s="5">
        <v>39.799999999999997</v>
      </c>
      <c r="AZ10" s="5">
        <v>1.5</v>
      </c>
      <c r="BA10" s="3">
        <v>0.18</v>
      </c>
      <c r="BB10" s="3">
        <v>0.56999999999999995</v>
      </c>
      <c r="BC10" s="3">
        <v>0.37</v>
      </c>
      <c r="BD10" s="3">
        <v>1.48</v>
      </c>
      <c r="BE10" s="3">
        <v>3.98</v>
      </c>
      <c r="BF10" s="3">
        <v>3.72</v>
      </c>
      <c r="BG10" s="3">
        <v>7.77</v>
      </c>
      <c r="BH10" s="3">
        <v>0.47</v>
      </c>
      <c r="BI10" s="3">
        <v>1.63</v>
      </c>
    </row>
    <row r="11" spans="1:63" x14ac:dyDescent="0.2">
      <c r="A11" s="1">
        <v>43623</v>
      </c>
      <c r="B11" s="2">
        <f>B4+7*12</f>
        <v>98</v>
      </c>
      <c r="C11">
        <f t="shared" si="1"/>
        <v>14</v>
      </c>
      <c r="D11" t="s">
        <v>37</v>
      </c>
      <c r="E11">
        <v>5200</v>
      </c>
      <c r="F11">
        <v>21.4</v>
      </c>
      <c r="G11" s="2">
        <f t="shared" si="2"/>
        <v>1112.8</v>
      </c>
      <c r="H11">
        <v>74.3</v>
      </c>
      <c r="I11" s="2">
        <f t="shared" si="3"/>
        <v>3863.6</v>
      </c>
      <c r="J11">
        <v>2.7</v>
      </c>
      <c r="K11" s="2">
        <f t="shared" si="4"/>
        <v>140.4</v>
      </c>
      <c r="L11">
        <v>1</v>
      </c>
      <c r="M11" s="2">
        <f t="shared" si="5"/>
        <v>52</v>
      </c>
      <c r="N11">
        <v>0.6</v>
      </c>
      <c r="O11" s="2">
        <f t="shared" si="6"/>
        <v>31.2</v>
      </c>
      <c r="P11" s="2">
        <v>410</v>
      </c>
      <c r="Q11" s="16">
        <f>(I11+K11)*(41.1/100)*(67.3/100)</f>
        <v>1107.5184120000001</v>
      </c>
      <c r="R11" s="28">
        <f>(I11+K11)*(57.1/100)</f>
        <v>2286.2840000000001</v>
      </c>
      <c r="S11" s="3">
        <f>R11*(0.1/100)</f>
        <v>2.2862840000000002</v>
      </c>
      <c r="T11" s="3">
        <f>(I11+K11)*(41.1/100)*(15.5/100)</f>
        <v>255.07482000000005</v>
      </c>
      <c r="U11" s="3">
        <v>88.8</v>
      </c>
      <c r="V11" s="3">
        <f>(I11+K11)*(41.1/100)*(0.77/100)</f>
        <v>12.671458800000002</v>
      </c>
      <c r="W11" s="3">
        <v>47.3</v>
      </c>
      <c r="X11">
        <f>(56.4/(56.4+19+10.4))*100</f>
        <v>65.734265734265733</v>
      </c>
      <c r="Y11">
        <f>(19/(56.4+19+10.4))*100</f>
        <v>22.144522144522142</v>
      </c>
      <c r="Z11">
        <f>(10.4/(56.4+19+10.4))*100</f>
        <v>12.121212121212119</v>
      </c>
      <c r="AA11">
        <f>0.76+0.076</f>
        <v>0.83599999999999997</v>
      </c>
      <c r="AB11">
        <f>25.6+0.45</f>
        <v>26.05</v>
      </c>
      <c r="AC11">
        <f>18.6+73.5</f>
        <v>92.1</v>
      </c>
      <c r="AD11">
        <f>91.9+0.76</f>
        <v>92.660000000000011</v>
      </c>
      <c r="AE11">
        <f>73.7+25.6</f>
        <v>99.300000000000011</v>
      </c>
      <c r="AF11">
        <f>0.97+18.6</f>
        <v>19.57</v>
      </c>
      <c r="AG11">
        <f>(I11+K11)*(41.1/100)*(15/100)*(14.2/100)*(4.44/100)</f>
        <v>1.5563184436800002</v>
      </c>
      <c r="AI11" s="3">
        <f>I11*(59.9/100)*(70.7/100)</f>
        <v>1636.2075548</v>
      </c>
      <c r="AJ11" s="3">
        <f>I11*(59.9/100)*(18.5/100)</f>
        <v>428.14483399999995</v>
      </c>
      <c r="AK11">
        <f t="shared" si="7"/>
        <v>3.8216216216216221</v>
      </c>
      <c r="AL11">
        <v>86.8</v>
      </c>
      <c r="AM11">
        <v>10.199999999999999</v>
      </c>
      <c r="AN11">
        <v>0.17</v>
      </c>
      <c r="AO11">
        <v>78.2</v>
      </c>
      <c r="AP11">
        <v>7.11</v>
      </c>
      <c r="AQ11">
        <v>7.62</v>
      </c>
      <c r="AR11">
        <v>9.1999999999999998E-2</v>
      </c>
      <c r="AS11">
        <v>3.58</v>
      </c>
      <c r="AT11">
        <v>0.17</v>
      </c>
      <c r="AU11">
        <v>0.54</v>
      </c>
      <c r="AV11">
        <v>15.4</v>
      </c>
      <c r="AW11">
        <v>1.62</v>
      </c>
      <c r="AX11" s="5">
        <v>3.57</v>
      </c>
      <c r="AY11" s="5">
        <v>32.1</v>
      </c>
      <c r="AZ11" s="5">
        <v>0</v>
      </c>
      <c r="BA11" s="3">
        <v>0.11</v>
      </c>
      <c r="BB11" s="3">
        <v>0.56000000000000005</v>
      </c>
      <c r="BC11" s="3">
        <v>0.28999999999999998</v>
      </c>
      <c r="BD11" s="3">
        <v>1.07</v>
      </c>
      <c r="BE11" s="3">
        <v>4.71</v>
      </c>
      <c r="BF11" s="3">
        <v>7.02</v>
      </c>
      <c r="BG11" s="3">
        <v>5.39</v>
      </c>
      <c r="BH11" s="3">
        <v>0.46</v>
      </c>
      <c r="BI11" s="3">
        <v>4.08</v>
      </c>
    </row>
    <row r="12" spans="1:63" x14ac:dyDescent="0.2">
      <c r="A12" s="1">
        <v>43637</v>
      </c>
      <c r="B12" s="2">
        <f>B4+7*14</f>
        <v>112</v>
      </c>
      <c r="C12">
        <f t="shared" si="1"/>
        <v>16</v>
      </c>
      <c r="D12" t="s">
        <v>80</v>
      </c>
      <c r="E12">
        <v>5500</v>
      </c>
      <c r="F12">
        <v>35.4</v>
      </c>
      <c r="G12" s="2">
        <f t="shared" si="2"/>
        <v>1947</v>
      </c>
      <c r="H12">
        <v>60.4</v>
      </c>
      <c r="I12" s="2">
        <f t="shared" si="3"/>
        <v>3322</v>
      </c>
      <c r="J12">
        <v>2.6</v>
      </c>
      <c r="K12" s="2">
        <f t="shared" si="4"/>
        <v>143</v>
      </c>
      <c r="L12">
        <v>0.9</v>
      </c>
      <c r="M12" s="2">
        <f t="shared" si="5"/>
        <v>49.500000000000007</v>
      </c>
      <c r="N12">
        <v>0.7</v>
      </c>
      <c r="O12" s="2">
        <f t="shared" si="6"/>
        <v>38.499999999999993</v>
      </c>
      <c r="P12" s="2">
        <v>408</v>
      </c>
      <c r="Q12" s="16">
        <f>(I12+K12)*(35.9/100)*(64.5/100)</f>
        <v>802.338075</v>
      </c>
      <c r="R12" s="28">
        <f>(I12+K12)*(61.8/100)</f>
        <v>2141.37</v>
      </c>
      <c r="S12" s="3">
        <f>R12*(0.12/100)</f>
        <v>2.5696439999999998</v>
      </c>
      <c r="T12" s="3">
        <f>(I12+K12)*(35.9/100)*(15.9/100)</f>
        <v>197.78566499999999</v>
      </c>
      <c r="U12" s="3">
        <v>89</v>
      </c>
      <c r="V12" s="3">
        <f>(I12+K12)*(35.9/100)*(1.81/100)</f>
        <v>22.515223500000001</v>
      </c>
      <c r="W12" s="3">
        <v>66.599999999999994</v>
      </c>
      <c r="X12">
        <f>(54.9/(54.9+28.1+7.96))*100</f>
        <v>60.356200527704488</v>
      </c>
      <c r="Y12">
        <f>(28.1/(54.9+28.1+7.96))*100</f>
        <v>30.892700087950754</v>
      </c>
      <c r="Z12">
        <f>(7.96/(54.9+28.1+7.96))*100</f>
        <v>8.7510993843447675</v>
      </c>
      <c r="AA12">
        <f>0.67+0.078</f>
        <v>0.748</v>
      </c>
      <c r="AB12">
        <f>24.1+1</f>
        <v>25.1</v>
      </c>
      <c r="AC12">
        <f>14.4+63.6</f>
        <v>78</v>
      </c>
      <c r="AD12">
        <f>84.6+0.67</f>
        <v>85.27</v>
      </c>
      <c r="AE12">
        <f>73.2+24.1</f>
        <v>97.300000000000011</v>
      </c>
      <c r="AF12">
        <f>14.4+2.68</f>
        <v>17.080000000000002</v>
      </c>
      <c r="AG12">
        <f>(I12+K12)*(35.9/100)*(15.9/100)*(9.01/100)*(7.29/100)</f>
        <v>1.29911360556285</v>
      </c>
      <c r="AI12" s="3">
        <f>I12*(66.2/100)*(74.4/100)</f>
        <v>1636.1780160000003</v>
      </c>
      <c r="AJ12" s="3">
        <f>I12*(66.2/100)*(16.2/100)</f>
        <v>356.26456800000005</v>
      </c>
      <c r="AK12">
        <f t="shared" si="7"/>
        <v>4.5925925925925926</v>
      </c>
      <c r="AL12">
        <v>83.1</v>
      </c>
      <c r="AM12">
        <v>12</v>
      </c>
      <c r="AN12">
        <v>0.4</v>
      </c>
      <c r="AO12">
        <v>73.5</v>
      </c>
      <c r="AP12">
        <v>7.75</v>
      </c>
      <c r="AQ12">
        <v>9.3699999999999992</v>
      </c>
      <c r="AR12">
        <v>9.0999999999999998E-2</v>
      </c>
      <c r="AS12">
        <v>2.2400000000000002</v>
      </c>
      <c r="AT12">
        <v>0.14000000000000001</v>
      </c>
      <c r="AU12">
        <v>1.49</v>
      </c>
      <c r="AV12">
        <v>5.12</v>
      </c>
      <c r="AW12">
        <v>0.57999999999999996</v>
      </c>
      <c r="AX12" s="5">
        <v>1.95</v>
      </c>
      <c r="AY12" s="5">
        <v>19.5</v>
      </c>
      <c r="AZ12" s="5">
        <v>0.39</v>
      </c>
      <c r="BA12" s="3">
        <v>0.13</v>
      </c>
      <c r="BB12" s="3">
        <v>0.37</v>
      </c>
      <c r="BC12" s="3">
        <v>0.26</v>
      </c>
      <c r="BD12" s="3">
        <v>3.38</v>
      </c>
      <c r="BE12" s="3">
        <v>1.74</v>
      </c>
      <c r="BF12" s="3">
        <v>3.47</v>
      </c>
      <c r="BG12" s="3">
        <v>7.78</v>
      </c>
      <c r="BH12" s="3">
        <v>0.45</v>
      </c>
      <c r="BI12" s="3">
        <v>6.57</v>
      </c>
    </row>
    <row r="13" spans="1:63" x14ac:dyDescent="0.2">
      <c r="A13" s="1">
        <v>43641</v>
      </c>
      <c r="B13" s="2">
        <f>B12+4</f>
        <v>116</v>
      </c>
      <c r="C13">
        <f t="shared" si="1"/>
        <v>16.571428571428573</v>
      </c>
      <c r="D13" t="s">
        <v>29</v>
      </c>
      <c r="E13">
        <v>4100</v>
      </c>
      <c r="F13">
        <v>27.2</v>
      </c>
      <c r="G13" s="2">
        <f t="shared" si="2"/>
        <v>1115.2</v>
      </c>
      <c r="H13">
        <v>67.7</v>
      </c>
      <c r="I13" s="2">
        <f t="shared" si="3"/>
        <v>2775.7000000000003</v>
      </c>
      <c r="J13">
        <v>3.5</v>
      </c>
      <c r="K13" s="2">
        <f t="shared" si="4"/>
        <v>143.5</v>
      </c>
      <c r="L13">
        <v>1.1000000000000001</v>
      </c>
      <c r="M13" s="2">
        <f t="shared" si="5"/>
        <v>45.1</v>
      </c>
      <c r="N13">
        <v>0.5</v>
      </c>
      <c r="O13" s="2">
        <f t="shared" si="6"/>
        <v>20.5</v>
      </c>
      <c r="P13" s="2">
        <v>411</v>
      </c>
      <c r="Q13" s="16">
        <f>(I13+K13)*(47.2/100)*(61.2/100)</f>
        <v>843.2517888000001</v>
      </c>
      <c r="R13" s="28">
        <f>(I13+K13)*(50.2/100)</f>
        <v>1465.4384000000002</v>
      </c>
      <c r="S13" s="3">
        <f>R13*(0.12/100)</f>
        <v>1.7585260800000002</v>
      </c>
      <c r="T13" s="3">
        <f>(I13+K13)*(47.2/100)*(20/100)</f>
        <v>275.57248000000004</v>
      </c>
      <c r="U13" s="3">
        <v>90.3</v>
      </c>
      <c r="V13" s="3">
        <f>(I13+K13)*(47.2/100)*(1.47/100)</f>
        <v>20.254577280000003</v>
      </c>
      <c r="W13" s="3">
        <v>66.7</v>
      </c>
      <c r="X13">
        <f>(47.6/(47.6+29+8.63))*100</f>
        <v>55.8488795025226</v>
      </c>
      <c r="Y13">
        <f>(29/(47.6+29+8.63))*100</f>
        <v>34.02557784817553</v>
      </c>
      <c r="Z13">
        <f>(8.63/(47.6+29+8.63))*100</f>
        <v>10.125542649301892</v>
      </c>
      <c r="AA13">
        <f>0.15+0</f>
        <v>0.15</v>
      </c>
      <c r="AB13">
        <f>6.04+1.08</f>
        <v>7.12</v>
      </c>
      <c r="AC13">
        <f>18+73.3</f>
        <v>91.3</v>
      </c>
      <c r="AD13">
        <f>82.9+0.15</f>
        <v>83.050000000000011</v>
      </c>
      <c r="AE13">
        <f>6.04+90.9</f>
        <v>96.940000000000012</v>
      </c>
      <c r="AF13">
        <f>18+1.63</f>
        <v>19.63</v>
      </c>
      <c r="AG13">
        <f>(I13+K13)*(47.2/100)*(15.1/100)*(14.7/100)*(5.05/100)</f>
        <v>1.5445127904864</v>
      </c>
      <c r="AI13" s="3">
        <f>I13*(53.1/100)*(71.2/100)</f>
        <v>1049.4144504000003</v>
      </c>
      <c r="AJ13" s="3">
        <f>I13*(53.1/100)*(17.7/100)</f>
        <v>260.87971590000001</v>
      </c>
      <c r="AK13">
        <f t="shared" si="7"/>
        <v>4.0225988700564983</v>
      </c>
      <c r="AL13">
        <v>80.400000000000006</v>
      </c>
      <c r="AM13">
        <v>15.4</v>
      </c>
      <c r="AN13">
        <v>0.24</v>
      </c>
      <c r="AO13">
        <v>73.400000000000006</v>
      </c>
      <c r="AP13">
        <v>7.44</v>
      </c>
      <c r="AQ13">
        <v>10.1</v>
      </c>
      <c r="AR13">
        <v>0.1</v>
      </c>
      <c r="AS13">
        <v>3.14</v>
      </c>
      <c r="AT13">
        <v>0.12</v>
      </c>
      <c r="AU13">
        <v>0.64</v>
      </c>
      <c r="AV13">
        <v>11.6</v>
      </c>
      <c r="AW13">
        <v>0.86</v>
      </c>
      <c r="AX13" s="5">
        <v>4.12</v>
      </c>
      <c r="AY13" s="5">
        <v>40</v>
      </c>
      <c r="AZ13" s="5">
        <v>0.59</v>
      </c>
      <c r="BA13" s="3">
        <v>8.5000000000000006E-2</v>
      </c>
      <c r="BB13" s="3">
        <v>0.52</v>
      </c>
      <c r="BC13" s="3">
        <v>0.14000000000000001</v>
      </c>
      <c r="BD13" s="3">
        <v>0.92</v>
      </c>
      <c r="BE13" s="3">
        <v>5.04</v>
      </c>
      <c r="BF13" s="3">
        <v>3.51</v>
      </c>
      <c r="BG13" s="3">
        <v>7.79</v>
      </c>
      <c r="BH13" s="3">
        <v>1.23</v>
      </c>
      <c r="BI13" s="3">
        <v>9.36</v>
      </c>
    </row>
    <row r="14" spans="1:63" x14ac:dyDescent="0.2">
      <c r="A14" s="1">
        <v>43647</v>
      </c>
      <c r="B14" s="2">
        <f>B12+10</f>
        <v>122</v>
      </c>
      <c r="C14">
        <f t="shared" si="1"/>
        <v>17.428571428571427</v>
      </c>
      <c r="D14" t="s">
        <v>30</v>
      </c>
      <c r="E14">
        <v>4400</v>
      </c>
      <c r="F14">
        <v>42.8</v>
      </c>
      <c r="G14" s="2">
        <f t="shared" si="2"/>
        <v>1883.2</v>
      </c>
      <c r="H14">
        <v>49.4</v>
      </c>
      <c r="I14" s="2">
        <f>E14*(H14/100)</f>
        <v>2173.6</v>
      </c>
      <c r="J14">
        <v>6.9</v>
      </c>
      <c r="K14" s="2">
        <f t="shared" si="4"/>
        <v>303.60000000000002</v>
      </c>
      <c r="L14">
        <v>0.4</v>
      </c>
      <c r="M14" s="2">
        <f t="shared" si="5"/>
        <v>17.600000000000001</v>
      </c>
      <c r="N14">
        <v>0.5</v>
      </c>
      <c r="O14" s="2">
        <f t="shared" si="6"/>
        <v>22</v>
      </c>
      <c r="P14" s="2">
        <v>280</v>
      </c>
      <c r="Q14" s="16">
        <f>(I14+K14)*(36.4/100)*(59.3/100)</f>
        <v>534.70857439999997</v>
      </c>
      <c r="R14" s="28">
        <f>(I14+K14)*(60/100)</f>
        <v>1486.32</v>
      </c>
      <c r="S14" s="3">
        <f>R14*(0.091/100)</f>
        <v>1.3525512</v>
      </c>
      <c r="T14" s="3">
        <f>(I14+K14)*(36.4/100)*(14.2/100)</f>
        <v>128.04151359999997</v>
      </c>
      <c r="U14" s="3">
        <v>90.4</v>
      </c>
      <c r="V14" s="3">
        <f>(I14+K14)*(36.4/100)*(2.38/100)</f>
        <v>21.460479039999999</v>
      </c>
      <c r="W14" s="3">
        <v>74.7</v>
      </c>
      <c r="X14">
        <f>(30.2/(30.2+30.7+15.9))*100</f>
        <v>39.322916666666671</v>
      </c>
      <c r="Y14">
        <f>(30.7/(30.2+30.7+15.9))*100</f>
        <v>39.973958333333329</v>
      </c>
      <c r="Z14">
        <f>(15.9/(30.2+30.7+15.9))*100</f>
        <v>20.703125</v>
      </c>
      <c r="AA14">
        <f>0.036</f>
        <v>3.5999999999999997E-2</v>
      </c>
      <c r="AB14">
        <f>1.81+2.13</f>
        <v>3.94</v>
      </c>
      <c r="AC14">
        <f>6.91+56.5</f>
        <v>63.41</v>
      </c>
      <c r="AD14">
        <v>5.6</v>
      </c>
      <c r="AE14">
        <f>30.6+1.81</f>
        <v>32.410000000000004</v>
      </c>
      <c r="AF14">
        <f>8.76+6.91</f>
        <v>15.67</v>
      </c>
      <c r="AG14">
        <f>(I14+K14)*(36.4/100)*(21.5/100)*(23.1/100)*(0.14/100)</f>
        <v>6.2696158324800008E-2</v>
      </c>
      <c r="AI14" s="3">
        <f>I14*(66.3/100)*(75.2/100)</f>
        <v>1083.7047935999999</v>
      </c>
      <c r="AJ14" s="3">
        <f>I14*(66.3/100)*(15.2/100)</f>
        <v>219.04671359999998</v>
      </c>
      <c r="AK14">
        <f t="shared" si="7"/>
        <v>4.9473684210526319</v>
      </c>
      <c r="AL14">
        <v>76.400000000000006</v>
      </c>
      <c r="AM14">
        <v>9.59</v>
      </c>
      <c r="AN14">
        <v>2.62</v>
      </c>
      <c r="AO14">
        <v>52.3</v>
      </c>
      <c r="AP14">
        <v>8.23</v>
      </c>
      <c r="AQ14">
        <v>18.399999999999999</v>
      </c>
      <c r="AR14">
        <v>0.53</v>
      </c>
      <c r="AS14">
        <v>0.85</v>
      </c>
      <c r="AT14">
        <v>0.13</v>
      </c>
      <c r="AU14">
        <v>2.12</v>
      </c>
      <c r="AV14">
        <v>0.88</v>
      </c>
      <c r="AW14">
        <v>1.24</v>
      </c>
      <c r="AX14" s="5">
        <v>4.96</v>
      </c>
      <c r="AY14" s="5">
        <v>4.7</v>
      </c>
      <c r="AZ14" s="5">
        <v>1.57</v>
      </c>
      <c r="BA14" s="3">
        <v>1.04</v>
      </c>
      <c r="BB14" s="3">
        <v>8.5999999999999993E-2</v>
      </c>
      <c r="BC14" s="3">
        <v>0.45</v>
      </c>
      <c r="BD14" s="3">
        <v>6.46</v>
      </c>
      <c r="BE14" s="3">
        <v>0.96</v>
      </c>
      <c r="BF14" s="3">
        <v>5.91</v>
      </c>
      <c r="BG14" s="3">
        <v>12.8</v>
      </c>
      <c r="BH14" s="3">
        <v>0.43</v>
      </c>
      <c r="BI14" s="3">
        <v>7.01</v>
      </c>
    </row>
    <row r="15" spans="1:63" x14ac:dyDescent="0.2">
      <c r="A15" s="1">
        <v>43665</v>
      </c>
      <c r="B15" s="2">
        <f>B12+7*4</f>
        <v>140</v>
      </c>
      <c r="C15">
        <f t="shared" si="1"/>
        <v>20</v>
      </c>
      <c r="D15" t="s">
        <v>31</v>
      </c>
      <c r="E15">
        <v>6800</v>
      </c>
      <c r="F15">
        <v>33.5</v>
      </c>
      <c r="G15" s="2">
        <f t="shared" si="2"/>
        <v>2278</v>
      </c>
      <c r="H15">
        <v>61.2</v>
      </c>
      <c r="I15" s="2">
        <f>E15*(H15/100)</f>
        <v>4161.6000000000004</v>
      </c>
      <c r="J15">
        <v>3.6</v>
      </c>
      <c r="K15" s="2">
        <f t="shared" si="4"/>
        <v>244.80000000000004</v>
      </c>
      <c r="L15">
        <v>0.9</v>
      </c>
      <c r="M15" s="2">
        <f t="shared" si="5"/>
        <v>61.20000000000001</v>
      </c>
      <c r="N15">
        <v>0.5</v>
      </c>
      <c r="O15" s="2">
        <f t="shared" si="6"/>
        <v>34</v>
      </c>
      <c r="P15" s="2">
        <v>446</v>
      </c>
      <c r="Q15" s="16">
        <f>(I15+K15)*(32.1/100)*(64.3/100)</f>
        <v>909.49417920000019</v>
      </c>
      <c r="R15" s="28">
        <f>(I15+K15)*(62/100)</f>
        <v>2731.9680000000003</v>
      </c>
      <c r="S15" s="3">
        <f>R15*(0.025/100)</f>
        <v>0.68299200000000004</v>
      </c>
      <c r="T15" s="3">
        <f>(I15+K15)*(32.1/100)*(9.89/100)</f>
        <v>139.88954016000002</v>
      </c>
      <c r="U15" s="3">
        <v>81.3</v>
      </c>
      <c r="V15" s="3">
        <f>(I15+K15)*(32.1/100)*(1.33/100)</f>
        <v>18.812243520000006</v>
      </c>
      <c r="W15" s="3">
        <v>64.599999999999994</v>
      </c>
      <c r="X15">
        <f>(53.4/(53.4+15.1+3.21))*100</f>
        <v>74.466601589736442</v>
      </c>
      <c r="Y15">
        <f>(15.1/(53.4+15.1+3.21))*100</f>
        <v>21.057035280992888</v>
      </c>
      <c r="Z15">
        <f>(3.21/(53.4+15.1+3.21))*100</f>
        <v>4.4763631292706743</v>
      </c>
      <c r="AA15">
        <f>0.075+0.14</f>
        <v>0.21500000000000002</v>
      </c>
      <c r="AB15">
        <f>9.07+2.12</f>
        <v>11.190000000000001</v>
      </c>
      <c r="AC15">
        <f>22.7+43.2</f>
        <v>65.900000000000006</v>
      </c>
      <c r="AD15">
        <f>20.6+0.075</f>
        <v>20.675000000000001</v>
      </c>
      <c r="AE15">
        <f>9.07+68.4</f>
        <v>77.47</v>
      </c>
      <c r="AF15">
        <f>22.7+12</f>
        <v>34.700000000000003</v>
      </c>
      <c r="AG15">
        <f>(I15+K15)*(32.1/100)*(21.9/100)*(28.2/100)*(1.26/100)</f>
        <v>1.1006588229235201</v>
      </c>
      <c r="AI15" s="3">
        <f>I15*(68.8/100)*(64.8/100)</f>
        <v>1855.3411584</v>
      </c>
      <c r="AJ15" s="3">
        <f>I15*(68.8/100)*(23.9/100)</f>
        <v>684.30021120000004</v>
      </c>
      <c r="AK15">
        <f>AI15/AJ15</f>
        <v>2.7112970711297071</v>
      </c>
      <c r="AL15">
        <v>63.7</v>
      </c>
      <c r="AM15">
        <v>3.41</v>
      </c>
      <c r="AN15">
        <v>3.11</v>
      </c>
      <c r="AO15">
        <v>72</v>
      </c>
      <c r="AP15">
        <v>5.51</v>
      </c>
      <c r="AQ15">
        <v>6.01</v>
      </c>
      <c r="AR15">
        <v>0.17</v>
      </c>
      <c r="AS15">
        <v>1.4</v>
      </c>
      <c r="AT15">
        <v>0.13</v>
      </c>
      <c r="AU15">
        <v>0.18</v>
      </c>
      <c r="AV15">
        <v>5.08</v>
      </c>
      <c r="AW15">
        <v>0.41</v>
      </c>
      <c r="AX15" s="5">
        <v>0.16</v>
      </c>
      <c r="AY15" s="5">
        <v>4.93</v>
      </c>
      <c r="AZ15" s="5">
        <v>0.64</v>
      </c>
      <c r="BA15" s="3">
        <v>0.34</v>
      </c>
      <c r="BB15" s="3">
        <v>0.36</v>
      </c>
      <c r="BC15" s="3">
        <v>0.28999999999999998</v>
      </c>
      <c r="BD15" s="3">
        <v>0.64</v>
      </c>
      <c r="BE15" s="3">
        <v>3.19</v>
      </c>
      <c r="BF15" s="3">
        <v>3.39</v>
      </c>
      <c r="BG15" s="3">
        <v>2.52</v>
      </c>
      <c r="BH15" s="3">
        <v>0.36</v>
      </c>
      <c r="BI15" s="3">
        <v>3.78</v>
      </c>
    </row>
    <row r="16" spans="1:63" x14ac:dyDescent="0.2">
      <c r="A16" s="1">
        <v>43679</v>
      </c>
      <c r="B16" s="2">
        <f>B12+7*6</f>
        <v>154</v>
      </c>
      <c r="C16">
        <f t="shared" si="1"/>
        <v>22</v>
      </c>
      <c r="D16" t="s">
        <v>81</v>
      </c>
      <c r="E16">
        <v>9200</v>
      </c>
      <c r="F16">
        <v>26.4</v>
      </c>
      <c r="G16" s="2">
        <f t="shared" si="2"/>
        <v>2428.8000000000002</v>
      </c>
      <c r="H16">
        <v>67.2</v>
      </c>
      <c r="I16" s="2">
        <f>E16*(H16/100)</f>
        <v>6182.4000000000005</v>
      </c>
      <c r="J16">
        <v>4.7</v>
      </c>
      <c r="K16" s="2">
        <f t="shared" si="4"/>
        <v>432.4</v>
      </c>
      <c r="L16">
        <v>0.9</v>
      </c>
      <c r="M16" s="2">
        <f t="shared" si="5"/>
        <v>82.800000000000011</v>
      </c>
      <c r="N16">
        <v>0.8</v>
      </c>
      <c r="O16" s="2">
        <f t="shared" si="6"/>
        <v>73.600000000000009</v>
      </c>
      <c r="P16" s="2">
        <v>181</v>
      </c>
      <c r="Q16" s="16">
        <f>(I16+K16)*(40.6/100)*(65.8/100)</f>
        <v>1767.1305904000001</v>
      </c>
      <c r="R16" s="28">
        <f>(I16+K16)*(55.9/100)</f>
        <v>3697.6731999999997</v>
      </c>
      <c r="S16" s="3">
        <f>R16*(0.064/100)</f>
        <v>2.3665108479999999</v>
      </c>
      <c r="T16" s="3">
        <f>(I16+K16)*(40.6/100)*(9.42/100)</f>
        <v>252.98434896000006</v>
      </c>
      <c r="U16" s="3">
        <v>87.3</v>
      </c>
      <c r="V16" s="3">
        <f>(I16+K16)*(40.6/100)*(1.48/100)</f>
        <v>39.747010240000009</v>
      </c>
      <c r="W16" s="3">
        <v>73.5</v>
      </c>
      <c r="X16">
        <f>(41.2/(41.2+23.6+14))*100</f>
        <v>52.284263959390863</v>
      </c>
      <c r="Y16">
        <f>(23.6/(41.2+23.6+14))*100</f>
        <v>29.949238578680198</v>
      </c>
      <c r="Z16">
        <f>(14/(41.2+23.6+14))*100</f>
        <v>17.766497461928932</v>
      </c>
      <c r="AA16">
        <f>0</f>
        <v>0</v>
      </c>
      <c r="AB16">
        <f>8.44+1.53</f>
        <v>9.9699999999999989</v>
      </c>
      <c r="AC16">
        <f>12.2+39.6</f>
        <v>51.8</v>
      </c>
      <c r="AD16">
        <f>23.9+0</f>
        <v>23.9</v>
      </c>
      <c r="AE16">
        <f>72.8+8.44</f>
        <v>81.239999999999995</v>
      </c>
      <c r="AF16">
        <f>11.7+12.2</f>
        <v>23.9</v>
      </c>
      <c r="AG16">
        <f>(I16+K16)*(40.6/100)*(20.8/100)*(21.1/100)*(0.48/100)</f>
        <v>0.56575679526912015</v>
      </c>
      <c r="AI16" s="3">
        <f>I16*(63.2/100)*(54/100)</f>
        <v>2109.9294720000003</v>
      </c>
      <c r="AJ16" s="3">
        <f>I16*(63.2/100)*(31.6/100)</f>
        <v>1234.6994688000002</v>
      </c>
      <c r="AK16">
        <f>AI16/AJ16</f>
        <v>1.7088607594936709</v>
      </c>
      <c r="AL16">
        <v>80.900000000000006</v>
      </c>
      <c r="AM16">
        <v>2.8</v>
      </c>
      <c r="AN16">
        <v>2.4300000000000002</v>
      </c>
      <c r="AO16">
        <v>68</v>
      </c>
      <c r="AP16">
        <v>3.41</v>
      </c>
      <c r="AQ16">
        <v>11.3</v>
      </c>
      <c r="AR16">
        <v>0.32</v>
      </c>
      <c r="AS16">
        <v>0.31</v>
      </c>
      <c r="AT16">
        <v>8.4000000000000005E-2</v>
      </c>
      <c r="AU16">
        <v>0.61</v>
      </c>
      <c r="AV16">
        <v>1.3</v>
      </c>
      <c r="AW16">
        <v>0.25</v>
      </c>
      <c r="AX16" s="5">
        <v>0.51</v>
      </c>
      <c r="AY16" s="5">
        <v>1.31</v>
      </c>
      <c r="AZ16" s="5">
        <v>0.48</v>
      </c>
      <c r="BA16" s="3">
        <v>0.81</v>
      </c>
      <c r="BB16" s="3">
        <v>7.0000000000000007E-2</v>
      </c>
      <c r="BC16" s="3">
        <v>0.25</v>
      </c>
      <c r="BD16" s="3">
        <v>1.32</v>
      </c>
      <c r="BE16" s="3">
        <v>0.82</v>
      </c>
      <c r="BF16" s="3">
        <v>2.2599999999999998</v>
      </c>
      <c r="BG16" s="3">
        <v>4.74</v>
      </c>
      <c r="BH16" s="3">
        <v>1.2E-2</v>
      </c>
      <c r="BI16" s="3">
        <v>2.2999999999999998</v>
      </c>
    </row>
    <row r="17" spans="1:61" x14ac:dyDescent="0.2">
      <c r="A17" s="1">
        <v>43693</v>
      </c>
      <c r="B17" s="2">
        <f>B12+7*8</f>
        <v>168</v>
      </c>
      <c r="C17">
        <f t="shared" si="1"/>
        <v>24</v>
      </c>
      <c r="D17" t="s">
        <v>82</v>
      </c>
      <c r="E17">
        <v>8300</v>
      </c>
      <c r="F17">
        <v>45.9</v>
      </c>
      <c r="G17" s="2">
        <f t="shared" si="2"/>
        <v>3809.7</v>
      </c>
      <c r="H17">
        <v>48</v>
      </c>
      <c r="I17" s="2">
        <f>E17*(H17/100)</f>
        <v>3984</v>
      </c>
      <c r="J17">
        <v>4.9000000000000004</v>
      </c>
      <c r="K17" s="2">
        <f t="shared" si="4"/>
        <v>406.7</v>
      </c>
      <c r="L17">
        <v>0.7</v>
      </c>
      <c r="M17" s="2">
        <f t="shared" si="5"/>
        <v>58.099999999999994</v>
      </c>
      <c r="N17">
        <v>0.5</v>
      </c>
      <c r="O17" s="2">
        <f t="shared" si="6"/>
        <v>41.5</v>
      </c>
      <c r="P17" s="2">
        <v>227</v>
      </c>
    </row>
    <row r="18" spans="1:61" x14ac:dyDescent="0.2">
      <c r="A18" s="1">
        <v>43696</v>
      </c>
      <c r="B18" s="2">
        <f>B17+3</f>
        <v>171</v>
      </c>
      <c r="C18">
        <f t="shared" si="1"/>
        <v>24.428571428571427</v>
      </c>
      <c r="D18" t="s">
        <v>85</v>
      </c>
      <c r="E18">
        <v>11200</v>
      </c>
      <c r="F18">
        <v>24.8</v>
      </c>
      <c r="G18" s="2">
        <f t="shared" si="2"/>
        <v>2777.6</v>
      </c>
      <c r="H18">
        <v>67.3</v>
      </c>
      <c r="I18" s="2">
        <f>E18*(H18/100)</f>
        <v>7537.5999999999995</v>
      </c>
      <c r="J18">
        <v>6.4</v>
      </c>
      <c r="K18" s="2">
        <f t="shared" si="4"/>
        <v>716.80000000000007</v>
      </c>
      <c r="L18">
        <v>0.7</v>
      </c>
      <c r="M18" s="2">
        <f t="shared" si="5"/>
        <v>78.399999999999991</v>
      </c>
      <c r="N18">
        <v>0.8</v>
      </c>
      <c r="O18" s="2">
        <f t="shared" si="6"/>
        <v>89.600000000000009</v>
      </c>
      <c r="P18" s="2">
        <v>67</v>
      </c>
      <c r="Q18" s="16">
        <f>(I18+K18)*(52.9/100)*(86.3/100)</f>
        <v>3768.3564687999997</v>
      </c>
      <c r="R18" s="28">
        <f>(I18+K18)*(45/100)</f>
        <v>3714.48</v>
      </c>
      <c r="S18" s="3">
        <f>R18*(0.031/100)</f>
        <v>1.1514888000000001</v>
      </c>
      <c r="T18" s="3">
        <f>(I18+K18)*(52.9/100)*(1.11/100)</f>
        <v>48.469011359999996</v>
      </c>
      <c r="U18" s="3">
        <v>76.400000000000006</v>
      </c>
      <c r="V18" s="3">
        <f>(I18+K18)*(52.9/100)*(0.28/100)</f>
        <v>12.226417280000001</v>
      </c>
      <c r="W18" s="3">
        <v>58.4</v>
      </c>
      <c r="X18">
        <f>(52.9/(52.9+21.4+8.98))*100</f>
        <v>63.52065321805955</v>
      </c>
      <c r="Y18">
        <f>(21.4/(52.9+21.4+8.98))*100</f>
        <v>25.696445725264166</v>
      </c>
      <c r="Z18">
        <f>(8.98/(52.9+21.4+8.98))*100</f>
        <v>10.782901056676273</v>
      </c>
      <c r="AA18">
        <f>0.11+0.015</f>
        <v>0.125</v>
      </c>
      <c r="AB18">
        <f>16.3+0.99</f>
        <v>17.29</v>
      </c>
      <c r="AC18">
        <f>30.5+66.2</f>
        <v>96.7</v>
      </c>
      <c r="AD18">
        <f>31+0.11</f>
        <v>31.11</v>
      </c>
      <c r="AE18">
        <f>70.3+16.3</f>
        <v>86.6</v>
      </c>
      <c r="AF18">
        <f>0.91+30.5</f>
        <v>31.41</v>
      </c>
      <c r="AG18">
        <f>(I18+K18)*(52.9/100)*(11.8/100)*(16.7/100)*(1.81/100)</f>
        <v>1.5574647851593599</v>
      </c>
      <c r="AI18" s="3">
        <f>I18*(46.8/100)*(44.6/100)</f>
        <v>1573.3081727999997</v>
      </c>
      <c r="AJ18" s="3">
        <f>I18*(46.8/100)*(37.5/100)</f>
        <v>1322.8487999999998</v>
      </c>
      <c r="AK18">
        <f>AI18/AJ18</f>
        <v>1.1893333333333334</v>
      </c>
      <c r="AL18">
        <v>75.5</v>
      </c>
      <c r="AM18">
        <v>2.87</v>
      </c>
      <c r="AN18">
        <v>3.55</v>
      </c>
      <c r="AO18">
        <v>56.2</v>
      </c>
      <c r="AP18">
        <v>2.46</v>
      </c>
      <c r="AQ18">
        <v>14.2</v>
      </c>
      <c r="AR18">
        <v>0.2</v>
      </c>
      <c r="AS18">
        <v>0.28999999999999998</v>
      </c>
      <c r="AT18">
        <v>0.4</v>
      </c>
      <c r="AU18">
        <v>1.57</v>
      </c>
      <c r="AV18">
        <v>2.91</v>
      </c>
      <c r="AW18">
        <v>0.94</v>
      </c>
      <c r="AX18" s="5">
        <v>0.64</v>
      </c>
      <c r="AY18" s="5">
        <v>1.46</v>
      </c>
      <c r="AZ18" s="5">
        <v>2.35</v>
      </c>
      <c r="BA18" s="3">
        <v>0.43</v>
      </c>
      <c r="BB18" s="3">
        <v>0.16</v>
      </c>
      <c r="BC18" s="3">
        <v>0.78</v>
      </c>
      <c r="BD18" s="3">
        <v>4.03</v>
      </c>
      <c r="BE18" s="3">
        <v>1.85</v>
      </c>
      <c r="BF18" s="3">
        <v>3.38</v>
      </c>
      <c r="BG18" s="3">
        <v>5.99</v>
      </c>
      <c r="BH18" s="3">
        <v>7.5999999999999998E-2</v>
      </c>
      <c r="BI18" s="3">
        <v>1.7</v>
      </c>
    </row>
    <row r="22" spans="1:61" x14ac:dyDescent="0.2">
      <c r="A22" s="5" t="s">
        <v>38</v>
      </c>
    </row>
    <row r="23" spans="1:61" x14ac:dyDescent="0.2">
      <c r="A23" s="4" t="s">
        <v>39</v>
      </c>
    </row>
    <row r="24" spans="1:61" x14ac:dyDescent="0.2">
      <c r="A24" s="17" t="s">
        <v>77</v>
      </c>
    </row>
    <row r="26" spans="1:61" x14ac:dyDescent="0.2">
      <c r="A26" t="s">
        <v>84</v>
      </c>
    </row>
  </sheetData>
  <mergeCells count="10">
    <mergeCell ref="E1:P2"/>
    <mergeCell ref="BG2:BI2"/>
    <mergeCell ref="AR1:BI1"/>
    <mergeCell ref="AI1:AQ2"/>
    <mergeCell ref="AR2:AT2"/>
    <mergeCell ref="AU2:AW2"/>
    <mergeCell ref="AX2:AZ2"/>
    <mergeCell ref="BA2:BC2"/>
    <mergeCell ref="BD2:BF2"/>
    <mergeCell ref="Q1:A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346C-7053-1B43-BE74-C2E13FAC8F24}">
  <sheetPr>
    <tabColor rgb="FF0070C0"/>
  </sheetPr>
  <dimension ref="A1:BI26"/>
  <sheetViews>
    <sheetView workbookViewId="0">
      <pane xSplit="4" ySplit="2" topLeftCell="AO3" activePane="bottomRight" state="frozen"/>
      <selection activeCell="R24" sqref="R24"/>
      <selection pane="topRight" activeCell="R24" sqref="R24"/>
      <selection pane="bottomLeft" activeCell="R24" sqref="R24"/>
      <selection pane="bottomRight" activeCell="BC29" sqref="BC29"/>
    </sheetView>
  </sheetViews>
  <sheetFormatPr baseColWidth="10" defaultColWidth="11" defaultRowHeight="16" x14ac:dyDescent="0.2"/>
  <cols>
    <col min="1" max="1" width="9.5" customWidth="1"/>
    <col min="2" max="2" width="9.83203125" style="2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38242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43546</v>
      </c>
      <c r="B4" s="2">
        <v>8</v>
      </c>
      <c r="C4">
        <f>B4/7</f>
        <v>1.1428571428571428</v>
      </c>
      <c r="D4" t="s">
        <v>24</v>
      </c>
      <c r="E4">
        <v>8200</v>
      </c>
      <c r="F4">
        <v>52.3</v>
      </c>
      <c r="G4" s="2">
        <f>E4*(F4/100)</f>
        <v>4288.6000000000004</v>
      </c>
      <c r="H4">
        <v>39.4</v>
      </c>
      <c r="I4" s="2">
        <f>E4*(H4/100)</f>
        <v>3230.7999999999997</v>
      </c>
      <c r="J4">
        <v>6.7</v>
      </c>
      <c r="K4" s="2">
        <f>E4*(J4/100)</f>
        <v>549.4</v>
      </c>
      <c r="L4">
        <v>0.7</v>
      </c>
      <c r="M4" s="2">
        <f>E4*(L4/100)</f>
        <v>57.399999999999991</v>
      </c>
      <c r="N4">
        <v>0.9</v>
      </c>
      <c r="O4" s="2">
        <f>E4*(N4/100)</f>
        <v>73.800000000000011</v>
      </c>
      <c r="P4">
        <v>576</v>
      </c>
      <c r="Q4" s="16">
        <f>(I4+K4)*(31.9/100)*(32.7/100)</f>
        <v>394.32400260000003</v>
      </c>
      <c r="R4">
        <f>(I4+K4)*(65.5/100)</f>
        <v>2476.0309999999999</v>
      </c>
      <c r="S4" s="3">
        <f>R4*(0.061/100)</f>
        <v>1.5103789099999998</v>
      </c>
      <c r="T4" s="3">
        <f>(I4+K4)*(31.9/100)*(7.44/100)</f>
        <v>89.717754720000016</v>
      </c>
      <c r="U4" s="3">
        <v>85.8</v>
      </c>
      <c r="V4" s="3">
        <f>(I4+K4)*(31.9/100)*(0.43/100)</f>
        <v>5.1853003400000004</v>
      </c>
      <c r="W4">
        <v>32.799999999999997</v>
      </c>
      <c r="X4">
        <f>(59.1/(59.1+19.7+7.13))*100</f>
        <v>68.776911439543824</v>
      </c>
      <c r="Y4">
        <f>(19.7/(59.1+19.7+7.13))*100</f>
        <v>22.925637146514603</v>
      </c>
      <c r="Z4">
        <f>(7.13/(59.1+19.7+7.13))*100</f>
        <v>8.2974514139415803</v>
      </c>
      <c r="AA4">
        <f>0.01+0</f>
        <v>0.01</v>
      </c>
      <c r="AB4">
        <f>12.8+0.61</f>
        <v>13.41</v>
      </c>
      <c r="AC4">
        <f>41.4+33.1</f>
        <v>74.5</v>
      </c>
      <c r="AD4">
        <f>71.7+0.01</f>
        <v>71.710000000000008</v>
      </c>
      <c r="AE4">
        <f>84.3+12.8</f>
        <v>97.1</v>
      </c>
      <c r="AF4">
        <f>11.7+41.4</f>
        <v>53.099999999999994</v>
      </c>
      <c r="AG4">
        <f>(I4+K4)*(31.9/100)*(57.8/100)*(14.1/100)*(3.67/100)</f>
        <v>3.6067702281190792</v>
      </c>
      <c r="AI4">
        <f>I4*(66.5/100)*(65.2/100)</f>
        <v>1400.810264</v>
      </c>
      <c r="AJ4">
        <f>I4*(66.5/100)*(24.1/100)</f>
        <v>517.78416200000004</v>
      </c>
      <c r="AK4">
        <f>AI4/AJ4</f>
        <v>2.705394190871369</v>
      </c>
      <c r="AL4">
        <v>79.900000000000006</v>
      </c>
      <c r="AM4">
        <v>16.100000000000001</v>
      </c>
      <c r="AN4" s="29">
        <v>1.4999999999999999E-2</v>
      </c>
      <c r="AO4">
        <v>85.8</v>
      </c>
      <c r="AP4">
        <v>7.96</v>
      </c>
      <c r="AQ4">
        <v>2.78</v>
      </c>
      <c r="AR4">
        <v>0.14000000000000001</v>
      </c>
      <c r="AS4">
        <v>1.95</v>
      </c>
      <c r="AT4">
        <v>4.8000000000000001E-2</v>
      </c>
      <c r="AU4">
        <v>0.72</v>
      </c>
      <c r="AV4">
        <v>20.3</v>
      </c>
      <c r="AW4">
        <v>0.8</v>
      </c>
      <c r="AX4" s="5">
        <v>0</v>
      </c>
      <c r="AY4" s="5">
        <v>10</v>
      </c>
      <c r="AZ4" s="5">
        <v>10</v>
      </c>
      <c r="BA4" s="3">
        <v>0.55000000000000004</v>
      </c>
      <c r="BB4" s="3">
        <v>0.35</v>
      </c>
      <c r="BC4" s="3">
        <v>0.65</v>
      </c>
      <c r="BD4" s="3">
        <v>1.05</v>
      </c>
      <c r="BE4" s="3">
        <v>5.4</v>
      </c>
      <c r="BF4" s="3">
        <v>2.31</v>
      </c>
      <c r="BG4" s="3">
        <v>34.4</v>
      </c>
      <c r="BH4" s="3">
        <v>0.6</v>
      </c>
      <c r="BI4" s="3">
        <v>0.3</v>
      </c>
    </row>
    <row r="5" spans="1:61" x14ac:dyDescent="0.2">
      <c r="A5" s="1">
        <v>43550</v>
      </c>
      <c r="B5" s="2">
        <v>12</v>
      </c>
      <c r="C5">
        <f t="shared" ref="C5:C18" si="0">B5/7</f>
        <v>1.7142857142857142</v>
      </c>
      <c r="D5" t="s">
        <v>25</v>
      </c>
      <c r="E5">
        <v>6900</v>
      </c>
      <c r="F5">
        <v>63.4</v>
      </c>
      <c r="G5" s="2">
        <f t="shared" ref="G5:G18" si="1">E5*(F5/100)</f>
        <v>4374.6000000000004</v>
      </c>
      <c r="H5">
        <v>28.9</v>
      </c>
      <c r="I5" s="2">
        <f t="shared" ref="I5:I18" si="2">E5*(H5/100)</f>
        <v>1994.1</v>
      </c>
      <c r="J5">
        <v>6.2</v>
      </c>
      <c r="K5" s="2">
        <f t="shared" ref="K5:K18" si="3">E5*(J5/100)</f>
        <v>427.8</v>
      </c>
      <c r="L5">
        <v>0.8</v>
      </c>
      <c r="M5" s="2">
        <f t="shared" ref="M5:M18" si="4">E5*(L5/100)</f>
        <v>55.2</v>
      </c>
      <c r="N5">
        <v>0.7</v>
      </c>
      <c r="O5" s="2">
        <f t="shared" ref="O5:O18" si="5">E5*(N5/100)</f>
        <v>48.3</v>
      </c>
      <c r="P5">
        <v>659</v>
      </c>
      <c r="Q5" s="16">
        <f>(I5+K5)*(41.8/100)*(43.6/100)</f>
        <v>441.3864312</v>
      </c>
      <c r="R5">
        <f>(I5+K5)*(54.8/100)</f>
        <v>1327.2012</v>
      </c>
      <c r="S5" s="3">
        <f>R5*(0.11/100)</f>
        <v>1.4599213200000001</v>
      </c>
      <c r="T5" s="4" t="s">
        <v>131</v>
      </c>
      <c r="U5" s="4" t="s">
        <v>131</v>
      </c>
      <c r="V5" s="4" t="s">
        <v>131</v>
      </c>
      <c r="W5" s="4" t="s">
        <v>131</v>
      </c>
      <c r="X5" s="4" t="s">
        <v>131</v>
      </c>
      <c r="Y5" s="4" t="s">
        <v>131</v>
      </c>
      <c r="Z5" s="4" t="s">
        <v>131</v>
      </c>
      <c r="AA5" s="4" t="s">
        <v>131</v>
      </c>
      <c r="AB5" s="4" t="s">
        <v>131</v>
      </c>
      <c r="AC5" s="4" t="s">
        <v>131</v>
      </c>
      <c r="AD5" s="4" t="s">
        <v>131</v>
      </c>
      <c r="AE5" s="4" t="s">
        <v>131</v>
      </c>
      <c r="AF5" s="4" t="s">
        <v>131</v>
      </c>
      <c r="AG5" s="4" t="s">
        <v>131</v>
      </c>
      <c r="AH5" s="3"/>
      <c r="AI5" s="4"/>
      <c r="AJ5" s="4"/>
      <c r="AK5" s="4"/>
      <c r="AO5" s="4"/>
      <c r="AP5" s="4"/>
      <c r="AQ5" s="4"/>
      <c r="AR5" s="3"/>
      <c r="AS5" s="3"/>
      <c r="AT5" s="3"/>
      <c r="AU5" s="3"/>
      <c r="AV5" s="3"/>
      <c r="AW5" s="3"/>
      <c r="AX5" s="5"/>
      <c r="AY5" s="5"/>
      <c r="AZ5" s="5"/>
      <c r="BA5" s="4"/>
      <c r="BB5" s="4"/>
      <c r="BC5" s="4"/>
      <c r="BD5" s="4"/>
      <c r="BE5" s="4"/>
      <c r="BF5" s="4"/>
      <c r="BG5" s="4"/>
      <c r="BH5" s="4"/>
      <c r="BI5" s="4"/>
    </row>
    <row r="6" spans="1:61" x14ac:dyDescent="0.2">
      <c r="A6" s="1">
        <v>43556</v>
      </c>
      <c r="B6" s="2">
        <v>18</v>
      </c>
      <c r="C6">
        <f t="shared" si="0"/>
        <v>2.5714285714285716</v>
      </c>
      <c r="D6" t="s">
        <v>26</v>
      </c>
      <c r="E6" s="3">
        <v>7700</v>
      </c>
      <c r="F6" s="3">
        <v>34.1</v>
      </c>
      <c r="G6" s="2">
        <f t="shared" si="1"/>
        <v>2625.7000000000003</v>
      </c>
      <c r="H6" s="3">
        <v>58.8</v>
      </c>
      <c r="I6" s="2">
        <f t="shared" si="2"/>
        <v>4527.5999999999995</v>
      </c>
      <c r="J6" s="3">
        <v>5.5</v>
      </c>
      <c r="K6" s="2">
        <f t="shared" si="3"/>
        <v>423.5</v>
      </c>
      <c r="L6" s="3">
        <v>0.6</v>
      </c>
      <c r="M6" s="2">
        <f t="shared" si="4"/>
        <v>46.2</v>
      </c>
      <c r="N6" s="3">
        <v>1</v>
      </c>
      <c r="O6" s="2">
        <f t="shared" si="5"/>
        <v>77</v>
      </c>
      <c r="P6">
        <v>665</v>
      </c>
      <c r="Q6" s="16">
        <f>(I6+K6)*(56.6/100)*(59.9/100)</f>
        <v>1678.5912374</v>
      </c>
      <c r="R6">
        <f>(I6+K6)*(41.1/100)</f>
        <v>2034.9021</v>
      </c>
      <c r="S6" s="3">
        <f>R6*(0.32/100)</f>
        <v>6.5116867200000002</v>
      </c>
      <c r="T6" s="4" t="s">
        <v>131</v>
      </c>
      <c r="U6" s="4" t="s">
        <v>131</v>
      </c>
      <c r="V6" s="4" t="s">
        <v>131</v>
      </c>
      <c r="W6" s="4" t="s">
        <v>131</v>
      </c>
      <c r="X6" s="4" t="s">
        <v>131</v>
      </c>
      <c r="Y6" s="4" t="s">
        <v>131</v>
      </c>
      <c r="Z6" s="4" t="s">
        <v>131</v>
      </c>
      <c r="AA6" s="4" t="s">
        <v>131</v>
      </c>
      <c r="AB6" s="4" t="s">
        <v>131</v>
      </c>
      <c r="AC6" s="4" t="s">
        <v>131</v>
      </c>
      <c r="AD6" s="4" t="s">
        <v>131</v>
      </c>
      <c r="AE6" s="4" t="s">
        <v>131</v>
      </c>
      <c r="AF6" s="4" t="s">
        <v>131</v>
      </c>
      <c r="AG6" s="4" t="s">
        <v>131</v>
      </c>
      <c r="AI6" s="4"/>
      <c r="AJ6" s="4"/>
      <c r="AK6" s="4"/>
      <c r="AO6" s="4"/>
      <c r="AP6" s="4"/>
      <c r="AQ6" s="4"/>
      <c r="AR6" s="3"/>
      <c r="AS6" s="3"/>
      <c r="AT6" s="3"/>
      <c r="AU6" s="3"/>
      <c r="AV6" s="3"/>
      <c r="AW6" s="3"/>
      <c r="AX6" s="5"/>
      <c r="AY6" s="5"/>
      <c r="AZ6" s="5"/>
      <c r="BA6" s="4"/>
      <c r="BB6" s="4"/>
      <c r="BC6" s="4"/>
      <c r="BD6" s="4"/>
      <c r="BE6" s="4"/>
      <c r="BF6" s="4"/>
      <c r="BG6" s="4"/>
      <c r="BH6" s="4"/>
      <c r="BI6" s="4"/>
    </row>
    <row r="7" spans="1:61" x14ac:dyDescent="0.2">
      <c r="A7" s="1">
        <v>43574</v>
      </c>
      <c r="B7" s="2">
        <f>B4+7*4</f>
        <v>36</v>
      </c>
      <c r="C7">
        <f t="shared" si="0"/>
        <v>5.1428571428571432</v>
      </c>
      <c r="D7" t="s">
        <v>33</v>
      </c>
      <c r="E7">
        <v>5600</v>
      </c>
      <c r="F7">
        <v>23.3</v>
      </c>
      <c r="G7" s="2">
        <f t="shared" si="1"/>
        <v>1304.8000000000002</v>
      </c>
      <c r="H7">
        <v>72.3</v>
      </c>
      <c r="I7" s="2">
        <f t="shared" si="2"/>
        <v>4048.7999999999997</v>
      </c>
      <c r="J7">
        <v>2.9</v>
      </c>
      <c r="K7" s="2">
        <f t="shared" si="3"/>
        <v>162.39999999999998</v>
      </c>
      <c r="L7">
        <v>0.7</v>
      </c>
      <c r="M7" s="2">
        <f t="shared" si="4"/>
        <v>39.199999999999996</v>
      </c>
      <c r="N7">
        <v>0.8</v>
      </c>
      <c r="O7" s="2">
        <f t="shared" si="5"/>
        <v>44.800000000000004</v>
      </c>
      <c r="P7">
        <v>399</v>
      </c>
      <c r="Q7" s="16">
        <f>(I7+K7)*(54.9/100)*(68.5/100)</f>
        <v>1583.6849279999999</v>
      </c>
      <c r="R7">
        <f>(I7+K7)*(42.8/100)</f>
        <v>1802.3935999999999</v>
      </c>
      <c r="S7" s="3">
        <f>R7*(0.11/100)</f>
        <v>1.9826329599999999</v>
      </c>
      <c r="T7" s="3">
        <f>(I7+K7)*(54.9/100)*(16.3/100)</f>
        <v>376.84765439999995</v>
      </c>
      <c r="U7" s="3">
        <v>88.2</v>
      </c>
      <c r="V7" s="3">
        <f>(I7+K7)*(54.9/100)*(0.53/100)</f>
        <v>12.253328639999998</v>
      </c>
      <c r="W7">
        <v>37.700000000000003</v>
      </c>
      <c r="X7">
        <f>(58.1/(58.1+16.4+13.9))*100</f>
        <v>65.723981900452486</v>
      </c>
      <c r="Y7">
        <f>(16.4/(58.1+16.4+13.9))*100</f>
        <v>18.552036199095021</v>
      </c>
      <c r="Z7">
        <f>(13.9/(58.1+16.4+13.9))*100</f>
        <v>15.723981900452488</v>
      </c>
      <c r="AA7">
        <f>0.071</f>
        <v>7.0999999999999994E-2</v>
      </c>
      <c r="AB7">
        <f>18.4+1.4</f>
        <v>19.799999999999997</v>
      </c>
      <c r="AC7">
        <f>36.5+47.2</f>
        <v>83.7</v>
      </c>
      <c r="AD7">
        <f>85.9+0.071</f>
        <v>85.971000000000004</v>
      </c>
      <c r="AE7">
        <f>79.4+18.4</f>
        <v>97.800000000000011</v>
      </c>
      <c r="AF7">
        <f>5.86+36.5</f>
        <v>42.36</v>
      </c>
      <c r="AG7">
        <f>(I7+K7)*(54.9/100)*(13.6/100)*(11.6/100)*(5.72/100)</f>
        <v>2.0862730041753594</v>
      </c>
      <c r="AI7" s="3">
        <f>I7*(44.4/100)*(64.5/100)</f>
        <v>1159.4953439999999</v>
      </c>
      <c r="AJ7" s="3">
        <f>I7*(44.4/100)*(23.6/100)</f>
        <v>424.24945919999999</v>
      </c>
      <c r="AK7">
        <f t="shared" ref="AK7:AK8" si="6">AI7/AJ7</f>
        <v>2.7330508474576272</v>
      </c>
      <c r="AL7">
        <v>73.8</v>
      </c>
      <c r="AM7">
        <v>19.899999999999999</v>
      </c>
      <c r="AN7">
        <v>0.49</v>
      </c>
      <c r="AO7">
        <v>54</v>
      </c>
      <c r="AP7">
        <v>6.36</v>
      </c>
      <c r="AQ7">
        <v>21.6</v>
      </c>
      <c r="AR7">
        <v>0.14000000000000001</v>
      </c>
      <c r="AS7">
        <v>2.69</v>
      </c>
      <c r="AT7">
        <v>0.13</v>
      </c>
      <c r="AU7">
        <v>0.72</v>
      </c>
      <c r="AV7">
        <v>14.3</v>
      </c>
      <c r="AW7">
        <v>2.27</v>
      </c>
      <c r="AX7" s="5">
        <v>3.21</v>
      </c>
      <c r="AY7" s="5">
        <v>18.5</v>
      </c>
      <c r="AZ7" s="5">
        <v>1.2</v>
      </c>
      <c r="BA7" s="3">
        <v>0.34</v>
      </c>
      <c r="BB7" s="3">
        <v>0.59</v>
      </c>
      <c r="BC7" s="3">
        <v>0.41</v>
      </c>
      <c r="BD7" s="3">
        <v>1.68</v>
      </c>
      <c r="BE7" s="3">
        <v>8.4700000000000006</v>
      </c>
      <c r="BF7" s="3">
        <v>3.69</v>
      </c>
      <c r="BG7" s="3">
        <v>6.11</v>
      </c>
      <c r="BH7" s="3">
        <v>0.74</v>
      </c>
      <c r="BI7" s="3">
        <v>1.8</v>
      </c>
    </row>
    <row r="8" spans="1:61" x14ac:dyDescent="0.2">
      <c r="A8" s="1">
        <v>43588</v>
      </c>
      <c r="B8" s="2">
        <f>B4+7*6</f>
        <v>50</v>
      </c>
      <c r="C8">
        <f t="shared" si="0"/>
        <v>7.1428571428571432</v>
      </c>
      <c r="D8" t="s">
        <v>34</v>
      </c>
      <c r="E8">
        <v>5400</v>
      </c>
      <c r="F8">
        <v>28.7</v>
      </c>
      <c r="G8" s="2">
        <f t="shared" si="1"/>
        <v>1549.8</v>
      </c>
      <c r="H8">
        <v>67.599999999999994</v>
      </c>
      <c r="I8" s="2">
        <f t="shared" si="2"/>
        <v>3650.3999999999996</v>
      </c>
      <c r="J8">
        <v>1.9</v>
      </c>
      <c r="K8" s="2">
        <f t="shared" si="3"/>
        <v>102.6</v>
      </c>
      <c r="L8">
        <v>0.9</v>
      </c>
      <c r="M8" s="2">
        <f t="shared" si="4"/>
        <v>48.600000000000009</v>
      </c>
      <c r="N8">
        <v>0.6</v>
      </c>
      <c r="O8" s="2">
        <f t="shared" si="5"/>
        <v>32.4</v>
      </c>
      <c r="P8">
        <v>414</v>
      </c>
      <c r="Q8" s="16">
        <f>(I8+K8)*(49/100)*(78.6/100)</f>
        <v>1445.4304199999997</v>
      </c>
      <c r="R8">
        <f>(I8+K8)*(49.1/100)</f>
        <v>1842.7229999999997</v>
      </c>
      <c r="S8" s="3">
        <f>R8*(0.066/100)</f>
        <v>1.2161971799999998</v>
      </c>
      <c r="T8" s="3">
        <f>(I8+K8)*(49/100)*(11.2/100)</f>
        <v>205.96463999999995</v>
      </c>
      <c r="U8" s="3">
        <v>88.4</v>
      </c>
      <c r="V8" s="3">
        <f>(I8+K8)*(49/100)*(0.49/100)</f>
        <v>9.0109529999999989</v>
      </c>
      <c r="W8">
        <v>43.1</v>
      </c>
      <c r="X8">
        <f>(48.5/(48.5+24.1+9.5))*100</f>
        <v>59.074299634591966</v>
      </c>
      <c r="Y8">
        <f>(24.1/(48.5+24.1+9.5))*100</f>
        <v>29.354445797807553</v>
      </c>
      <c r="Z8">
        <f>(9.5/(48.5+24.1+9.5))*100</f>
        <v>11.571254567600487</v>
      </c>
      <c r="AA8">
        <f>0.14+0.086</f>
        <v>0.22600000000000001</v>
      </c>
      <c r="AB8">
        <f>19.5+0.58</f>
        <v>20.079999999999998</v>
      </c>
      <c r="AC8">
        <f>26.8+56.2</f>
        <v>83</v>
      </c>
      <c r="AD8">
        <f>69.1+0.14</f>
        <v>69.239999999999995</v>
      </c>
      <c r="AE8">
        <f>78.7+19.5</f>
        <v>98.2</v>
      </c>
      <c r="AF8">
        <f>4.39+26.8</f>
        <v>31.19</v>
      </c>
      <c r="AG8">
        <f>(I8+K8)*(49/100)*(8.82/100)*(17.9/100)*(3.88/100)</f>
        <v>1.1264916739607997</v>
      </c>
      <c r="AI8" s="3">
        <f>I8*(52.4/100)*(65.5/100)</f>
        <v>1252.8902879999998</v>
      </c>
      <c r="AJ8" s="3">
        <f>I8*(52.4/100)*(23.5/100)</f>
        <v>449.51025599999991</v>
      </c>
      <c r="AK8">
        <f t="shared" si="6"/>
        <v>2.7872340425531918</v>
      </c>
      <c r="AL8">
        <v>78.599999999999994</v>
      </c>
      <c r="AM8">
        <v>10.9</v>
      </c>
      <c r="AN8">
        <v>0.8</v>
      </c>
      <c r="AO8">
        <v>38</v>
      </c>
      <c r="AP8">
        <v>2.62</v>
      </c>
      <c r="AQ8">
        <v>16.899999999999999</v>
      </c>
      <c r="AR8">
        <v>0.11</v>
      </c>
      <c r="AS8">
        <v>2.06</v>
      </c>
      <c r="AT8">
        <v>0.18</v>
      </c>
      <c r="AU8">
        <v>0.74</v>
      </c>
      <c r="AV8">
        <v>11.3</v>
      </c>
      <c r="AW8">
        <v>3.55</v>
      </c>
      <c r="AX8" s="5">
        <v>1.43</v>
      </c>
      <c r="AY8" s="5">
        <v>16.100000000000001</v>
      </c>
      <c r="AZ8" s="5">
        <v>8.9600000000000009</v>
      </c>
      <c r="BA8" s="3">
        <v>0.19</v>
      </c>
      <c r="BB8" s="3">
        <v>0.53</v>
      </c>
      <c r="BC8" s="3">
        <v>0.9</v>
      </c>
      <c r="BD8" s="3">
        <v>1.83</v>
      </c>
      <c r="BE8" s="3">
        <v>6.1</v>
      </c>
      <c r="BF8" s="3">
        <v>3.05</v>
      </c>
      <c r="BG8" s="3">
        <v>2.83</v>
      </c>
      <c r="BH8" s="3">
        <v>0.52</v>
      </c>
      <c r="BI8" s="3">
        <v>3.78</v>
      </c>
    </row>
    <row r="9" spans="1:61" x14ac:dyDescent="0.2">
      <c r="A9" s="1">
        <v>43602</v>
      </c>
      <c r="B9" s="2">
        <f>B4+7*8</f>
        <v>64</v>
      </c>
      <c r="C9">
        <f t="shared" si="0"/>
        <v>9.1428571428571423</v>
      </c>
      <c r="D9" t="s">
        <v>35</v>
      </c>
      <c r="E9">
        <v>7300</v>
      </c>
      <c r="F9">
        <v>25.3</v>
      </c>
      <c r="G9" s="2">
        <f t="shared" si="1"/>
        <v>1846.9</v>
      </c>
      <c r="H9">
        <v>70.599999999999994</v>
      </c>
      <c r="I9" s="2">
        <f t="shared" si="2"/>
        <v>5153.7999999999993</v>
      </c>
      <c r="J9">
        <v>2.5</v>
      </c>
      <c r="K9" s="2">
        <f t="shared" si="3"/>
        <v>182.5</v>
      </c>
      <c r="L9">
        <v>0.8</v>
      </c>
      <c r="M9" s="2">
        <f t="shared" si="4"/>
        <v>58.4</v>
      </c>
      <c r="N9">
        <v>0.8</v>
      </c>
      <c r="O9" s="2">
        <f t="shared" si="5"/>
        <v>58.4</v>
      </c>
      <c r="P9">
        <v>403</v>
      </c>
      <c r="Q9" s="16">
        <f>(I9+K9)*(46.2/100)*(64/100)</f>
        <v>1577.837184</v>
      </c>
      <c r="R9">
        <f>(I9+K9)*(51.4/100)</f>
        <v>2742.8581999999997</v>
      </c>
      <c r="S9" s="3">
        <f>R9*(0.089/100)</f>
        <v>2.4411437979999997</v>
      </c>
      <c r="T9" s="3">
        <f>(I9+K9)*(46.2/100)*(19.5/100)</f>
        <v>480.74726699999997</v>
      </c>
      <c r="U9" s="3">
        <v>89.8</v>
      </c>
      <c r="V9" s="3">
        <f>(I9+K9)*(46.2/100)*(1.55/100)</f>
        <v>38.213244299999992</v>
      </c>
      <c r="W9">
        <v>69.7</v>
      </c>
      <c r="X9">
        <f>(46.1/(46.1+22.5+17))*100</f>
        <v>53.855140186915897</v>
      </c>
      <c r="Y9">
        <f>(22.5/(46.1+22.5+17))*100</f>
        <v>26.285046728971967</v>
      </c>
      <c r="Z9">
        <f>(17/(46.1+22.5+17))*100</f>
        <v>19.859813084112151</v>
      </c>
      <c r="AA9">
        <f>0.98+0.29</f>
        <v>1.27</v>
      </c>
      <c r="AB9">
        <f>38.9+1.88</f>
        <v>40.78</v>
      </c>
      <c r="AC9">
        <f>36.7+49.7</f>
        <v>86.4</v>
      </c>
      <c r="AD9">
        <f>80.7+0.98</f>
        <v>81.680000000000007</v>
      </c>
      <c r="AE9">
        <f>58.3+38.9</f>
        <v>97.199999999999989</v>
      </c>
      <c r="AF9">
        <f>4.99+36.7</f>
        <v>41.690000000000005</v>
      </c>
      <c r="AG9">
        <f>(I9+K9)*(46.2/100)*(12.9/100)*(14.5/100)*(3.06/100)</f>
        <v>1.4111115664337999</v>
      </c>
      <c r="AI9" s="3">
        <f>I9*(54.6/100)*(62.6/100)</f>
        <v>1761.5482248000001</v>
      </c>
      <c r="AJ9" s="3">
        <f>I9*(54.6/100)*(26.3/100)</f>
        <v>740.07537239999999</v>
      </c>
      <c r="AK9">
        <f t="shared" ref="AK9" si="7">AI9/AJ9</f>
        <v>2.3802281368821294</v>
      </c>
      <c r="AL9">
        <v>82.7</v>
      </c>
      <c r="AM9">
        <v>13.7</v>
      </c>
      <c r="AN9">
        <v>0.19</v>
      </c>
      <c r="AO9">
        <v>65.8</v>
      </c>
      <c r="AP9">
        <v>4.33</v>
      </c>
      <c r="AQ9">
        <v>12.6</v>
      </c>
      <c r="AR9">
        <v>0.23</v>
      </c>
      <c r="AS9">
        <v>2.66</v>
      </c>
      <c r="AT9">
        <v>0.15</v>
      </c>
      <c r="AU9">
        <v>1.2</v>
      </c>
      <c r="AV9">
        <v>10.8</v>
      </c>
      <c r="AW9">
        <v>2.04</v>
      </c>
      <c r="AX9" s="5">
        <v>1.7</v>
      </c>
      <c r="AY9" s="5">
        <v>25</v>
      </c>
      <c r="AZ9" s="5">
        <v>0.56999999999999995</v>
      </c>
      <c r="BA9" s="3">
        <v>0.35</v>
      </c>
      <c r="BB9" s="3">
        <v>0.28000000000000003</v>
      </c>
      <c r="BC9" s="3">
        <v>0.1</v>
      </c>
      <c r="BD9" s="3">
        <v>2.0299999999999998</v>
      </c>
      <c r="BE9" s="3">
        <v>4.6500000000000004</v>
      </c>
      <c r="BF9" s="3">
        <v>3.93</v>
      </c>
      <c r="BG9" s="3">
        <v>5.31</v>
      </c>
      <c r="BH9" s="3">
        <v>0.47</v>
      </c>
      <c r="BI9" s="3">
        <v>1.03</v>
      </c>
    </row>
    <row r="10" spans="1:61" x14ac:dyDescent="0.2">
      <c r="A10" s="1">
        <v>43616</v>
      </c>
      <c r="B10" s="2">
        <f>B4+7*10</f>
        <v>78</v>
      </c>
      <c r="C10">
        <f t="shared" si="0"/>
        <v>11.142857142857142</v>
      </c>
      <c r="D10" t="s">
        <v>36</v>
      </c>
      <c r="E10">
        <v>9700</v>
      </c>
      <c r="F10">
        <v>29.2</v>
      </c>
      <c r="G10" s="2">
        <f t="shared" si="1"/>
        <v>2832.3999999999996</v>
      </c>
      <c r="H10">
        <v>66</v>
      </c>
      <c r="I10" s="2">
        <f t="shared" si="2"/>
        <v>6402</v>
      </c>
      <c r="J10">
        <v>3</v>
      </c>
      <c r="K10" s="2">
        <f t="shared" si="3"/>
        <v>291</v>
      </c>
      <c r="L10">
        <v>0.9</v>
      </c>
      <c r="M10" s="2">
        <f t="shared" si="4"/>
        <v>87.300000000000011</v>
      </c>
      <c r="N10">
        <v>0.9</v>
      </c>
      <c r="O10" s="2">
        <f t="shared" si="5"/>
        <v>87.300000000000011</v>
      </c>
      <c r="P10">
        <v>331</v>
      </c>
      <c r="Q10" s="16">
        <f>(I10+K10)*(46.7/100)*(71/100)</f>
        <v>2219.1980100000001</v>
      </c>
      <c r="R10">
        <f>(I10+K10)*(48.3/100)</f>
        <v>3232.7190000000001</v>
      </c>
      <c r="S10" s="3">
        <f>R10*(0.096/100)</f>
        <v>3.1034102400000001</v>
      </c>
      <c r="T10" s="3">
        <f>(I10+K10)*(46.7/100)*(14.3/100)</f>
        <v>446.96523300000007</v>
      </c>
      <c r="U10" s="3">
        <v>85.5</v>
      </c>
      <c r="V10" s="3">
        <f>(I10+K10)*(46.7/100)*(1.25/100)</f>
        <v>39.07038750000001</v>
      </c>
      <c r="W10">
        <v>69.599999999999994</v>
      </c>
      <c r="X10">
        <f>(53.7/(53.7+15.1+13.2))*100</f>
        <v>65.487804878048777</v>
      </c>
      <c r="Y10">
        <f>(15.1/(53.7+15.1+13.2))*100</f>
        <v>18.414634146341463</v>
      </c>
      <c r="Z10">
        <f>(13.2/(53.7+15.1+13.2))*100</f>
        <v>16.097560975609756</v>
      </c>
      <c r="AA10">
        <f>0.4+0.1</f>
        <v>0.5</v>
      </c>
      <c r="AB10">
        <f>20.9+2.65</f>
        <v>23.549999999999997</v>
      </c>
      <c r="AC10">
        <f>25.4+55.3</f>
        <v>80.699999999999989</v>
      </c>
      <c r="AD10">
        <f>81+0.4</f>
        <v>81.400000000000006</v>
      </c>
      <c r="AE10">
        <f>75.1+20.9</f>
        <v>96</v>
      </c>
      <c r="AF10">
        <f>5.82+25.4</f>
        <v>31.22</v>
      </c>
      <c r="AG10">
        <f>(I10+K10)*(46.7/100)*(11.4/100)*(18/100)*(3.57/100)</f>
        <v>2.2897247478839997</v>
      </c>
      <c r="AI10" s="3">
        <f>I10*(56.3/100)*(62.1/100)</f>
        <v>2238.2864459999996</v>
      </c>
      <c r="AJ10" s="3">
        <f>I10*(56.3/100)*(28.9/100)</f>
        <v>1041.6502139999998</v>
      </c>
      <c r="AK10">
        <f t="shared" ref="AK10" si="8">AI10/AJ10</f>
        <v>2.1487889273356404</v>
      </c>
      <c r="AL10">
        <v>86.8</v>
      </c>
      <c r="AM10">
        <v>9.8699999999999992</v>
      </c>
      <c r="AN10">
        <v>0.28000000000000003</v>
      </c>
      <c r="AO10">
        <v>84.9</v>
      </c>
      <c r="AP10">
        <v>5.22</v>
      </c>
      <c r="AQ10">
        <v>5.07</v>
      </c>
      <c r="AR10">
        <v>0.3</v>
      </c>
      <c r="AS10">
        <v>2.29</v>
      </c>
      <c r="AT10">
        <v>0.51</v>
      </c>
      <c r="AU10">
        <v>1.94</v>
      </c>
      <c r="AV10">
        <v>9.2799999999999994</v>
      </c>
      <c r="AW10">
        <v>2.35</v>
      </c>
      <c r="AX10" s="5">
        <v>1.7</v>
      </c>
      <c r="AY10" s="5">
        <v>20.399999999999999</v>
      </c>
      <c r="AZ10" s="5">
        <v>0.43</v>
      </c>
      <c r="BA10" s="3">
        <v>0.38</v>
      </c>
      <c r="BB10" s="3">
        <v>0.31</v>
      </c>
      <c r="BC10" s="3">
        <v>0.53</v>
      </c>
      <c r="BD10" s="3">
        <v>4.04</v>
      </c>
      <c r="BE10" s="3">
        <v>1.95</v>
      </c>
      <c r="BF10" s="3">
        <v>2.09</v>
      </c>
      <c r="BG10" s="3">
        <v>8.7799999999999994</v>
      </c>
      <c r="BH10" s="3">
        <v>0.46</v>
      </c>
      <c r="BI10" s="3">
        <v>6.68</v>
      </c>
    </row>
    <row r="11" spans="1:61" x14ac:dyDescent="0.2">
      <c r="A11" s="1">
        <v>43630</v>
      </c>
      <c r="B11" s="2">
        <f>B4+7*12</f>
        <v>92</v>
      </c>
      <c r="C11">
        <f t="shared" si="0"/>
        <v>13.142857142857142</v>
      </c>
      <c r="D11" t="s">
        <v>37</v>
      </c>
      <c r="E11">
        <v>9200</v>
      </c>
      <c r="F11">
        <v>34.799999999999997</v>
      </c>
      <c r="G11" s="2">
        <f t="shared" si="1"/>
        <v>3201.6</v>
      </c>
      <c r="H11">
        <v>61.5</v>
      </c>
      <c r="I11" s="2">
        <f t="shared" si="2"/>
        <v>5658</v>
      </c>
      <c r="J11">
        <v>2.4</v>
      </c>
      <c r="K11" s="2">
        <f t="shared" si="3"/>
        <v>220.8</v>
      </c>
      <c r="L11">
        <v>0.5</v>
      </c>
      <c r="M11" s="2">
        <f t="shared" si="4"/>
        <v>46</v>
      </c>
      <c r="N11">
        <v>0.8</v>
      </c>
      <c r="O11" s="2">
        <f t="shared" si="5"/>
        <v>73.600000000000009</v>
      </c>
      <c r="P11">
        <v>374</v>
      </c>
      <c r="Q11" s="16">
        <f>(I11+K11)*(36.9/100)*(72.1/100)</f>
        <v>1564.0488611999999</v>
      </c>
      <c r="R11">
        <f>(I11+K11)*(60.6/100)</f>
        <v>3562.5527999999999</v>
      </c>
      <c r="S11" s="3">
        <f>R11*(0.069/100)</f>
        <v>2.4581614320000003</v>
      </c>
      <c r="T11" s="3">
        <f>(I11+K11)*(36.9/100)*(13.3/100)</f>
        <v>288.51386760000003</v>
      </c>
      <c r="U11" s="3">
        <v>86.8</v>
      </c>
      <c r="V11" s="3">
        <f>(I11+K11)*(36.9/100)*(0.65/100)</f>
        <v>14.1003018</v>
      </c>
      <c r="W11">
        <v>37.700000000000003</v>
      </c>
      <c r="X11">
        <f>(58.8/(58.8+12.8+10.1))*100</f>
        <v>71.970624235006127</v>
      </c>
      <c r="Y11">
        <f>(12.8/(58.8+12.8+10.1))*100</f>
        <v>15.667074663402698</v>
      </c>
      <c r="Z11">
        <f>(10.1/(58.8+12.8+10.1))*100</f>
        <v>12.362301101591189</v>
      </c>
      <c r="AA11">
        <f>0.48+0.065</f>
        <v>0.54499999999999993</v>
      </c>
      <c r="AB11">
        <f>24.7+2.27</f>
        <v>26.97</v>
      </c>
      <c r="AC11">
        <f>32.4+54.8</f>
        <v>87.199999999999989</v>
      </c>
      <c r="AD11">
        <f>85.5+0.48</f>
        <v>85.98</v>
      </c>
      <c r="AE11">
        <f>72.2+24.7</f>
        <v>96.9</v>
      </c>
      <c r="AF11">
        <f>4.56+32.4</f>
        <v>36.96</v>
      </c>
      <c r="AG11">
        <f>(I11+K11)*(36.9/100)*(12.7/100)*(18.3/100)*(4.24/100)</f>
        <v>2.1376456675804802</v>
      </c>
      <c r="AI11" s="3">
        <f>I11*(63.9/100)*(61.9/100)</f>
        <v>2237.9709779999998</v>
      </c>
      <c r="AJ11" s="3">
        <f>I11*(63.9/100)*(29/100)</f>
        <v>1048.48398</v>
      </c>
      <c r="AK11">
        <f t="shared" ref="AK11" si="9">AI11/AJ11</f>
        <v>2.1344827586206896</v>
      </c>
      <c r="AL11">
        <v>85.8</v>
      </c>
      <c r="AM11">
        <v>10.1</v>
      </c>
      <c r="AN11">
        <v>0.3</v>
      </c>
      <c r="AO11">
        <v>88</v>
      </c>
      <c r="AP11">
        <v>3.08</v>
      </c>
      <c r="AQ11">
        <v>6.13</v>
      </c>
      <c r="AR11">
        <v>0.18</v>
      </c>
      <c r="AS11">
        <v>2.89</v>
      </c>
      <c r="AT11">
        <v>0.19</v>
      </c>
      <c r="AU11">
        <v>0.61</v>
      </c>
      <c r="AV11">
        <v>13.7</v>
      </c>
      <c r="AW11">
        <v>2.46</v>
      </c>
      <c r="AX11" s="5">
        <v>0.31</v>
      </c>
      <c r="AY11" s="5">
        <v>25.2</v>
      </c>
      <c r="AZ11" s="5">
        <v>1.26</v>
      </c>
      <c r="BA11" s="3">
        <v>0.37</v>
      </c>
      <c r="BB11" s="3">
        <v>0.45</v>
      </c>
      <c r="BC11" s="3">
        <v>0.21</v>
      </c>
      <c r="BD11" s="3">
        <v>1.23</v>
      </c>
      <c r="BE11" s="3">
        <v>6.08</v>
      </c>
      <c r="BF11" s="3">
        <v>3.23</v>
      </c>
      <c r="BG11" s="3">
        <v>6.63</v>
      </c>
      <c r="BH11" s="3">
        <v>1.1000000000000001</v>
      </c>
      <c r="BI11" s="3">
        <v>2.4</v>
      </c>
    </row>
    <row r="12" spans="1:61" x14ac:dyDescent="0.2">
      <c r="A12" s="1">
        <v>43644</v>
      </c>
      <c r="B12" s="2">
        <f>B4+7*14</f>
        <v>106</v>
      </c>
      <c r="C12">
        <f t="shared" si="0"/>
        <v>15.142857142857142</v>
      </c>
      <c r="D12" t="s">
        <v>80</v>
      </c>
      <c r="E12">
        <v>9400</v>
      </c>
      <c r="F12">
        <v>28.9</v>
      </c>
      <c r="G12" s="2">
        <f t="shared" si="1"/>
        <v>2716.6</v>
      </c>
      <c r="H12">
        <v>66.900000000000006</v>
      </c>
      <c r="I12" s="2">
        <f t="shared" si="2"/>
        <v>6288.6</v>
      </c>
      <c r="J12">
        <v>2.9</v>
      </c>
      <c r="K12" s="2">
        <f t="shared" si="3"/>
        <v>272.59999999999997</v>
      </c>
      <c r="L12">
        <v>0.5</v>
      </c>
      <c r="M12" s="2">
        <f t="shared" si="4"/>
        <v>47</v>
      </c>
      <c r="N12">
        <v>0.8</v>
      </c>
      <c r="O12" s="2">
        <f t="shared" si="5"/>
        <v>75.2</v>
      </c>
      <c r="P12">
        <v>344</v>
      </c>
      <c r="Q12" s="16">
        <f>(I12+K12)*(36.9/100)*(71/100)</f>
        <v>1718.9687879999999</v>
      </c>
      <c r="R12">
        <f>(I12+K12)*(57.7/100)</f>
        <v>3785.8124000000007</v>
      </c>
      <c r="S12" s="3">
        <f>R12*(0.048/100)</f>
        <v>1.8171899520000003</v>
      </c>
      <c r="T12" s="3">
        <f>(I12+K12)*(36.9/100)*(12.8/100)</f>
        <v>309.89859840000003</v>
      </c>
      <c r="U12" s="3">
        <v>83.9</v>
      </c>
      <c r="V12" s="3">
        <f>(I12+K12)*(36.9/100)*(1.1/100)</f>
        <v>26.631910800000004</v>
      </c>
      <c r="W12">
        <v>64.599999999999994</v>
      </c>
      <c r="X12">
        <f>(53.4/(53.4+19.1+12))*100</f>
        <v>63.195266272189343</v>
      </c>
      <c r="Y12">
        <f>(19.1/(53.4+19.1+12))*100</f>
        <v>22.603550295857993</v>
      </c>
      <c r="Z12">
        <f>(12/(53.4+19.1+12))*100</f>
        <v>14.201183431952662</v>
      </c>
      <c r="AA12">
        <f>0.17+0.024</f>
        <v>0.19400000000000001</v>
      </c>
      <c r="AB12">
        <f>25.6+2.13</f>
        <v>27.73</v>
      </c>
      <c r="AC12">
        <f>20.9+43.3</f>
        <v>64.199999999999989</v>
      </c>
      <c r="AD12">
        <f>81.3+0.17</f>
        <v>81.47</v>
      </c>
      <c r="AE12">
        <f>70.9+25.6</f>
        <v>96.5</v>
      </c>
      <c r="AF12">
        <f>10.5+20.9</f>
        <v>31.4</v>
      </c>
      <c r="AG12">
        <f>(I12+K12)*(36.9/100)*(13.3/100)*(15.5/100)*(4/100)</f>
        <v>1.9964248768800001</v>
      </c>
      <c r="AI12" s="3">
        <f>I12*(64.2/100)*(61.4/100)</f>
        <v>2478.8906568000002</v>
      </c>
      <c r="AJ12" s="3">
        <f>I12*(64.2/100)*(28.5/100)</f>
        <v>1150.6251420000001</v>
      </c>
      <c r="AK12">
        <f t="shared" ref="AK12" si="10">AI12/AJ12</f>
        <v>2.1543859649122807</v>
      </c>
      <c r="AL12">
        <v>87.3</v>
      </c>
      <c r="AM12">
        <v>8.9700000000000006</v>
      </c>
      <c r="AN12">
        <v>0.26</v>
      </c>
      <c r="AO12">
        <v>84.9</v>
      </c>
      <c r="AP12">
        <v>4.67</v>
      </c>
      <c r="AQ12">
        <v>5.38</v>
      </c>
      <c r="AR12">
        <v>0.17</v>
      </c>
      <c r="AS12">
        <v>2.4700000000000002</v>
      </c>
      <c r="AT12">
        <v>0.46</v>
      </c>
      <c r="AU12">
        <v>0.82</v>
      </c>
      <c r="AV12">
        <v>9.7200000000000006</v>
      </c>
      <c r="AW12">
        <v>2.36</v>
      </c>
      <c r="AX12" s="5">
        <v>0.63</v>
      </c>
      <c r="AY12" s="5">
        <v>21</v>
      </c>
      <c r="AZ12" s="5">
        <v>8.57</v>
      </c>
      <c r="BA12" s="3">
        <v>0.27</v>
      </c>
      <c r="BB12" s="3">
        <v>0.32</v>
      </c>
      <c r="BC12" s="3">
        <v>0.36</v>
      </c>
      <c r="BD12" s="3">
        <v>1.95</v>
      </c>
      <c r="BE12" s="3">
        <v>2.67</v>
      </c>
      <c r="BF12" s="3">
        <v>3.79</v>
      </c>
      <c r="BG12" s="3">
        <v>7.53</v>
      </c>
      <c r="BH12" s="3">
        <v>0.55000000000000004</v>
      </c>
      <c r="BI12" s="3">
        <v>2.48</v>
      </c>
    </row>
    <row r="13" spans="1:61" x14ac:dyDescent="0.2">
      <c r="A13" s="1">
        <v>43648</v>
      </c>
      <c r="B13" s="2">
        <f>B12+4</f>
        <v>110</v>
      </c>
      <c r="C13">
        <f t="shared" si="0"/>
        <v>15.714285714285714</v>
      </c>
      <c r="D13" t="s">
        <v>29</v>
      </c>
      <c r="E13">
        <v>11600</v>
      </c>
      <c r="F13">
        <v>30.9</v>
      </c>
      <c r="G13" s="2">
        <f t="shared" si="1"/>
        <v>3584.4</v>
      </c>
      <c r="H13">
        <v>63.4</v>
      </c>
      <c r="I13" s="2">
        <f t="shared" si="2"/>
        <v>7354.4000000000005</v>
      </c>
      <c r="J13">
        <v>3.6</v>
      </c>
      <c r="K13" s="2">
        <f t="shared" si="3"/>
        <v>417.6</v>
      </c>
      <c r="L13">
        <v>0.9</v>
      </c>
      <c r="M13" s="2">
        <f t="shared" si="4"/>
        <v>104.4</v>
      </c>
      <c r="N13">
        <v>1.2</v>
      </c>
      <c r="O13" s="2">
        <f t="shared" si="5"/>
        <v>139.20000000000002</v>
      </c>
      <c r="P13">
        <v>277</v>
      </c>
      <c r="Q13" s="16">
        <f>(I13+K13)*(35.6/100)*(60.5/100)</f>
        <v>1673.9333600000004</v>
      </c>
      <c r="R13">
        <f>(I13+K13)*(61.8/100)</f>
        <v>4803.0960000000005</v>
      </c>
      <c r="S13" s="3">
        <f>R13*(0.048/100)</f>
        <v>2.3054860800000001</v>
      </c>
      <c r="T13" s="3">
        <f>(I13+K13)*(35.6/100)*(18.3/100)</f>
        <v>506.33025600000013</v>
      </c>
      <c r="U13" s="3">
        <v>84.8</v>
      </c>
      <c r="V13" s="3">
        <f>(I13+K13)*(35.6/100)*(0.6/100)</f>
        <v>16.600992000000005</v>
      </c>
      <c r="W13">
        <v>50.5</v>
      </c>
      <c r="X13">
        <f>(60.5/(60.5+11.3+14.3))*100</f>
        <v>70.267131242741002</v>
      </c>
      <c r="Y13">
        <f>(11.3/(60.5+11.3+14.3))*100</f>
        <v>13.124274099883856</v>
      </c>
      <c r="Z13">
        <f>(14.3/(60.5+11.3+14.3))*100</f>
        <v>16.608594657375146</v>
      </c>
      <c r="AA13">
        <f>0.18+0.55</f>
        <v>0.73</v>
      </c>
      <c r="AB13">
        <f>5.62+5.98</f>
        <v>11.600000000000001</v>
      </c>
      <c r="AC13">
        <f>1.07+56.1</f>
        <v>57.17</v>
      </c>
      <c r="AD13">
        <f>26.1+0.18</f>
        <v>26.28</v>
      </c>
      <c r="AE13">
        <f>62.2+5.62</f>
        <v>67.820000000000007</v>
      </c>
      <c r="AF13">
        <f>1.07+1.49</f>
        <v>2.56</v>
      </c>
      <c r="AG13">
        <f>(I13+K13)*(35.6/100)*(18.5/100)*(13.9/100)*(0.44/100)</f>
        <v>0.31305597347200009</v>
      </c>
      <c r="AI13" s="3">
        <f>I13*(73/100)*(63.9/100)</f>
        <v>3430.6069680000005</v>
      </c>
      <c r="AJ13" s="3">
        <f>I13*(73/100)*(26.9/100)</f>
        <v>1444.183528</v>
      </c>
      <c r="AK13">
        <f t="shared" ref="AK13" si="11">AI13/AJ13</f>
        <v>2.3754646840148701</v>
      </c>
      <c r="AL13">
        <v>85.3</v>
      </c>
      <c r="AM13">
        <v>9.4</v>
      </c>
      <c r="AN13">
        <v>0.77</v>
      </c>
      <c r="AO13">
        <v>86.7</v>
      </c>
      <c r="AP13">
        <v>3.19</v>
      </c>
      <c r="AQ13">
        <v>4.71</v>
      </c>
      <c r="AR13">
        <v>0.15</v>
      </c>
      <c r="AS13">
        <v>0.41</v>
      </c>
      <c r="AT13">
        <v>0.11</v>
      </c>
      <c r="AU13">
        <v>1.3</v>
      </c>
      <c r="AV13">
        <v>3.35</v>
      </c>
      <c r="AW13">
        <v>1.18</v>
      </c>
      <c r="AX13" s="5">
        <v>1.48</v>
      </c>
      <c r="AY13" s="5">
        <v>2.81</v>
      </c>
      <c r="AZ13" s="5">
        <v>2.81</v>
      </c>
      <c r="BA13" s="3">
        <v>0.17</v>
      </c>
      <c r="BB13" s="3">
        <v>9.4E-2</v>
      </c>
      <c r="BC13" s="3">
        <v>0.28999999999999998</v>
      </c>
      <c r="BD13" s="3">
        <v>2.8</v>
      </c>
      <c r="BE13" s="3">
        <v>0.76</v>
      </c>
      <c r="BF13" s="3">
        <v>3.48</v>
      </c>
      <c r="BG13" s="3">
        <v>2.35</v>
      </c>
      <c r="BH13" s="3">
        <v>0.17</v>
      </c>
      <c r="BI13" s="3">
        <v>3.21</v>
      </c>
    </row>
    <row r="14" spans="1:61" x14ac:dyDescent="0.2">
      <c r="A14" s="1">
        <v>43654</v>
      </c>
      <c r="B14" s="2">
        <f>B12+10</f>
        <v>116</v>
      </c>
      <c r="C14">
        <f t="shared" si="0"/>
        <v>16.571428571428573</v>
      </c>
      <c r="D14" t="s">
        <v>30</v>
      </c>
      <c r="E14">
        <v>6500</v>
      </c>
      <c r="F14">
        <v>17.600000000000001</v>
      </c>
      <c r="G14" s="2">
        <f t="shared" si="1"/>
        <v>1144.0000000000002</v>
      </c>
      <c r="H14">
        <v>76.3</v>
      </c>
      <c r="I14" s="2">
        <f t="shared" si="2"/>
        <v>4959.5</v>
      </c>
      <c r="J14">
        <v>4.7</v>
      </c>
      <c r="K14" s="2">
        <f t="shared" si="3"/>
        <v>305.5</v>
      </c>
      <c r="L14">
        <v>0.4</v>
      </c>
      <c r="M14" s="2">
        <f t="shared" si="4"/>
        <v>26</v>
      </c>
      <c r="N14">
        <v>1</v>
      </c>
      <c r="O14" s="2">
        <f t="shared" si="5"/>
        <v>65</v>
      </c>
      <c r="P14">
        <v>312</v>
      </c>
      <c r="Q14" s="16">
        <f>(I14+K14)*(19.8/100)*(68.7/100)</f>
        <v>716.17689000000007</v>
      </c>
      <c r="R14">
        <f>(I14+K14)*(74.5/100)</f>
        <v>3922.4250000000002</v>
      </c>
      <c r="S14" s="3">
        <f>R14*(0.012/100)</f>
        <v>0.47069100000000003</v>
      </c>
      <c r="T14" s="3">
        <f>(I14+K14)*(19.8/100)*(11.9/100)</f>
        <v>124.05393000000001</v>
      </c>
      <c r="U14" s="3">
        <v>77.099999999999994</v>
      </c>
      <c r="V14" s="3">
        <f>(I14+K14)*(19.8/100)*(1.09/100)</f>
        <v>11.362923</v>
      </c>
      <c r="W14">
        <v>68.8</v>
      </c>
      <c r="X14">
        <f>(26.9/(26.9+13.4+14.2))*100</f>
        <v>49.357798165137609</v>
      </c>
      <c r="Y14">
        <f>(13.4/(26.9+13.4+14.2))*100</f>
        <v>24.587155963302752</v>
      </c>
      <c r="Z14">
        <f>(14.2/(26.9+13.4+14.2))*100</f>
        <v>26.055045871559635</v>
      </c>
      <c r="AA14">
        <v>0</v>
      </c>
      <c r="AB14">
        <f>0.27+0.068</f>
        <v>0.33800000000000002</v>
      </c>
      <c r="AC14">
        <f>0.19+0.45</f>
        <v>0.64</v>
      </c>
      <c r="AD14">
        <f>43</f>
        <v>43</v>
      </c>
      <c r="AE14">
        <f>73.7+0.27</f>
        <v>73.97</v>
      </c>
      <c r="AF14">
        <f>17.8+0.19</f>
        <v>17.990000000000002</v>
      </c>
      <c r="AG14">
        <f>(I14+K14)*(19.8/100)*(16.4/100)*(45.6/100)*(0.46/100)</f>
        <v>0.35861635180799994</v>
      </c>
      <c r="AI14" s="3">
        <f>I14*(80.8/100)*(68.3/100)</f>
        <v>2736.9695079999997</v>
      </c>
      <c r="AJ14" s="3">
        <f>I14*(80.8/100)*(23.8/100)</f>
        <v>953.73168800000008</v>
      </c>
      <c r="AK14">
        <f t="shared" ref="AK14" si="12">AI14/AJ14</f>
        <v>2.8697478991596634</v>
      </c>
      <c r="AL14">
        <v>89.1</v>
      </c>
      <c r="AM14">
        <v>6.25</v>
      </c>
      <c r="AN14">
        <v>0.61</v>
      </c>
      <c r="AO14">
        <v>81.8</v>
      </c>
      <c r="AP14">
        <v>3.69</v>
      </c>
      <c r="AQ14">
        <v>5.81</v>
      </c>
      <c r="AR14">
        <v>0.35</v>
      </c>
      <c r="AS14">
        <v>1.43</v>
      </c>
      <c r="AT14">
        <v>9.1999999999999998E-2</v>
      </c>
      <c r="AU14">
        <v>0.27</v>
      </c>
      <c r="AV14">
        <v>1.6</v>
      </c>
      <c r="AW14">
        <v>1.08</v>
      </c>
      <c r="AX14" s="5">
        <v>0.64</v>
      </c>
      <c r="AY14" s="5">
        <v>12</v>
      </c>
      <c r="AZ14" s="5">
        <v>5.3</v>
      </c>
      <c r="BA14" s="3">
        <v>0.46</v>
      </c>
      <c r="BB14" s="3">
        <v>0.23</v>
      </c>
      <c r="BC14" s="3">
        <v>0.21</v>
      </c>
      <c r="BD14" s="3">
        <v>1.01</v>
      </c>
      <c r="BE14" s="3">
        <v>3.02</v>
      </c>
      <c r="BF14" s="3">
        <v>2.2599999999999998</v>
      </c>
      <c r="BG14" s="3">
        <v>7.55</v>
      </c>
      <c r="BH14" s="3">
        <v>0.42</v>
      </c>
      <c r="BI14" s="3">
        <v>2.72</v>
      </c>
    </row>
    <row r="15" spans="1:61" x14ac:dyDescent="0.2">
      <c r="A15" s="1">
        <v>43672</v>
      </c>
      <c r="B15" s="2">
        <f>B12+7*4</f>
        <v>134</v>
      </c>
      <c r="C15">
        <f t="shared" si="0"/>
        <v>19.142857142857142</v>
      </c>
      <c r="D15" t="s">
        <v>31</v>
      </c>
      <c r="E15">
        <v>9800</v>
      </c>
      <c r="F15">
        <v>28.3</v>
      </c>
      <c r="G15" s="2">
        <f t="shared" si="1"/>
        <v>2773.4</v>
      </c>
      <c r="H15">
        <v>65.400000000000006</v>
      </c>
      <c r="I15" s="2">
        <f t="shared" si="2"/>
        <v>6409.2</v>
      </c>
      <c r="J15">
        <v>4.5</v>
      </c>
      <c r="K15" s="2">
        <f t="shared" si="3"/>
        <v>441</v>
      </c>
      <c r="L15">
        <v>0.6</v>
      </c>
      <c r="M15" s="2">
        <f t="shared" si="4"/>
        <v>58.800000000000004</v>
      </c>
      <c r="N15">
        <v>1.2</v>
      </c>
      <c r="O15" s="2">
        <f t="shared" si="5"/>
        <v>117.60000000000001</v>
      </c>
      <c r="P15">
        <v>350</v>
      </c>
      <c r="Q15" s="16">
        <f>(I15+K15)*(41.5/100)*(54.1/100)</f>
        <v>1537.9726529999998</v>
      </c>
      <c r="R15">
        <f>(I15+K15)*(55.3/100)</f>
        <v>3788.1605999999992</v>
      </c>
      <c r="S15" s="3">
        <f>R15*(0.035/100)</f>
        <v>1.32585621</v>
      </c>
      <c r="T15" s="3">
        <f>(I15+K15)*(41.5/100)*(21.7/100)</f>
        <v>616.8947609999999</v>
      </c>
      <c r="U15" s="3">
        <v>84.4</v>
      </c>
      <c r="V15" s="3">
        <f>(I15+K15)*(41.5/100)*(0.78/100)</f>
        <v>22.174097399999997</v>
      </c>
      <c r="W15">
        <v>68.8</v>
      </c>
      <c r="X15">
        <f>(50.9/(50.9+12.7+16))*100</f>
        <v>63.944723618090457</v>
      </c>
      <c r="Y15">
        <f>(12.7/(50.9+12.7+16))*100</f>
        <v>15.954773869346733</v>
      </c>
      <c r="Z15">
        <f>(16/(50.9+12.7+16))*100</f>
        <v>20.100502512562816</v>
      </c>
      <c r="AA15">
        <f>0.00719</f>
        <v>7.1900000000000002E-3</v>
      </c>
      <c r="AB15">
        <f>3.45+2.99</f>
        <v>6.44</v>
      </c>
      <c r="AC15">
        <f>4.46+54.5</f>
        <v>58.96</v>
      </c>
      <c r="AD15">
        <f>24.8+0.00719</f>
        <v>24.807190000000002</v>
      </c>
      <c r="AE15">
        <f>78.5+3.45</f>
        <v>81.95</v>
      </c>
      <c r="AF15">
        <f>5.64+4.46</f>
        <v>10.1</v>
      </c>
      <c r="AG15">
        <f>(I15+K15)*(41.5/100)*(20.1/100)*(20.4/100)*(0.22/100)</f>
        <v>0.25644855353039997</v>
      </c>
      <c r="AI15" s="3">
        <f>I15*(63.6/100)*(55.5/100)</f>
        <v>2262.3194160000003</v>
      </c>
      <c r="AJ15" s="3">
        <f>I15*(63.6/100)*(36.3/100)</f>
        <v>1479.6791856</v>
      </c>
      <c r="AK15">
        <f t="shared" ref="AK15" si="13">AI15/AJ15</f>
        <v>1.528925619834711</v>
      </c>
      <c r="AL15">
        <v>84.3</v>
      </c>
      <c r="AM15">
        <v>7.15</v>
      </c>
      <c r="AN15">
        <v>1.23</v>
      </c>
      <c r="AO15">
        <v>81.5</v>
      </c>
      <c r="AP15">
        <v>4.7</v>
      </c>
      <c r="AQ15">
        <v>3.86</v>
      </c>
      <c r="AR15">
        <v>0.13</v>
      </c>
      <c r="AS15">
        <v>1.03</v>
      </c>
      <c r="AT15">
        <v>0.16</v>
      </c>
      <c r="AU15">
        <v>0.28999999999999998</v>
      </c>
      <c r="AV15">
        <v>8.48</v>
      </c>
      <c r="AW15">
        <v>2.5499999999999998</v>
      </c>
      <c r="AX15" s="5">
        <v>0.55000000000000004</v>
      </c>
      <c r="AY15" s="5">
        <v>6.57</v>
      </c>
      <c r="AZ15" s="5">
        <v>0.97</v>
      </c>
      <c r="BA15" s="3">
        <v>0.15</v>
      </c>
      <c r="BB15" s="3">
        <v>0.11</v>
      </c>
      <c r="BC15" s="3">
        <v>0.52</v>
      </c>
      <c r="BD15" s="3">
        <v>0.24</v>
      </c>
      <c r="BE15" s="3">
        <v>3.83</v>
      </c>
      <c r="BF15" s="3">
        <v>6.63</v>
      </c>
      <c r="BG15" s="3">
        <v>3.71</v>
      </c>
      <c r="BH15" s="3">
        <v>0.65</v>
      </c>
      <c r="BI15" s="3">
        <v>5.67</v>
      </c>
    </row>
    <row r="16" spans="1:61" x14ac:dyDescent="0.2">
      <c r="A16" s="1">
        <v>43686</v>
      </c>
      <c r="B16" s="2">
        <f>B12+7*6</f>
        <v>148</v>
      </c>
      <c r="C16">
        <f t="shared" si="0"/>
        <v>21.142857142857142</v>
      </c>
      <c r="D16" t="s">
        <v>81</v>
      </c>
      <c r="E16">
        <v>8300</v>
      </c>
      <c r="F16">
        <v>30.3</v>
      </c>
      <c r="G16" s="2">
        <f t="shared" si="1"/>
        <v>2514.9</v>
      </c>
      <c r="H16">
        <v>62.3</v>
      </c>
      <c r="I16" s="2">
        <f t="shared" si="2"/>
        <v>5170.8999999999996</v>
      </c>
      <c r="J16">
        <v>5</v>
      </c>
      <c r="K16" s="2">
        <f t="shared" si="3"/>
        <v>415</v>
      </c>
      <c r="L16">
        <v>0.9</v>
      </c>
      <c r="M16" s="2">
        <f t="shared" si="4"/>
        <v>74.7</v>
      </c>
      <c r="N16">
        <v>1.5</v>
      </c>
      <c r="O16" s="2">
        <f t="shared" si="5"/>
        <v>124.5</v>
      </c>
      <c r="P16">
        <v>320</v>
      </c>
      <c r="Q16" s="16">
        <f>(I16+K16)*(49.7/100)*(51.3/100)</f>
        <v>1424.1866499</v>
      </c>
      <c r="R16">
        <f>(I16+K16)*(47.1/100)</f>
        <v>2630.9589000000001</v>
      </c>
      <c r="S16" s="3">
        <f>R16*(0.044/100)</f>
        <v>1.1576219159999999</v>
      </c>
      <c r="T16" s="3">
        <f>(I16+K16)*(49.7/100)*(24.9/100)</f>
        <v>691.27188269999999</v>
      </c>
      <c r="U16" s="3">
        <v>86</v>
      </c>
      <c r="V16" s="3">
        <f>(I16+K16)*(49.7/100)*(0.37/100)</f>
        <v>10.271911510000001</v>
      </c>
      <c r="W16">
        <v>51.2</v>
      </c>
      <c r="X16">
        <f>(37.8/(37.8+11.8+30.1))*100</f>
        <v>47.427854454203263</v>
      </c>
      <c r="Y16">
        <f>(11.8/(37.8+11.8+30.1))*100</f>
        <v>14.805520702634883</v>
      </c>
      <c r="Z16">
        <f>(30.1/(37.8+11.8+30.1))*100</f>
        <v>37.766624843161864</v>
      </c>
      <c r="AA16">
        <f>0.00737+0.00737</f>
        <v>1.474E-2</v>
      </c>
      <c r="AB16">
        <f>6.93+7.88</f>
        <v>14.809999999999999</v>
      </c>
      <c r="AC16">
        <f>1.73+54.4</f>
        <v>56.129999999999995</v>
      </c>
      <c r="AD16">
        <f>18.5+0.00737</f>
        <v>18.507370000000002</v>
      </c>
      <c r="AE16">
        <f>62.8+6.93</f>
        <v>69.72999999999999</v>
      </c>
      <c r="AF16">
        <f>0.87+1.73</f>
        <v>2.6</v>
      </c>
      <c r="AG16">
        <f>(I16+K16)*(49.7/100)*(21.8/100)*(20.3/100)*(0.36/100)</f>
        <v>0.44228741055912002</v>
      </c>
      <c r="AI16" s="3">
        <f>I16*(51.5/100)*(57.8/100)</f>
        <v>1539.2218029999999</v>
      </c>
      <c r="AJ16" s="3">
        <f>I16*(51.5/100)*(34/100)</f>
        <v>905.42459000000008</v>
      </c>
      <c r="AK16">
        <f t="shared" ref="AK16:AK17" si="14">AI16/AJ16</f>
        <v>1.6999999999999997</v>
      </c>
      <c r="AL16">
        <v>81.599999999999994</v>
      </c>
      <c r="AM16">
        <v>10.1</v>
      </c>
      <c r="AN16">
        <v>1.05</v>
      </c>
      <c r="AO16">
        <v>76</v>
      </c>
      <c r="AP16">
        <v>5.98</v>
      </c>
      <c r="AQ16">
        <v>5.82</v>
      </c>
      <c r="AR16">
        <v>0.19</v>
      </c>
      <c r="AS16">
        <v>0.66</v>
      </c>
      <c r="AT16">
        <v>0.19</v>
      </c>
      <c r="AU16">
        <v>0.68</v>
      </c>
      <c r="AV16">
        <v>3.45</v>
      </c>
      <c r="AW16">
        <v>2.38</v>
      </c>
      <c r="AX16" s="5">
        <v>1</v>
      </c>
      <c r="AY16" s="5">
        <v>4.6100000000000003</v>
      </c>
      <c r="AZ16" s="5">
        <v>6.85</v>
      </c>
      <c r="BA16" s="3">
        <v>0.26</v>
      </c>
      <c r="BB16" s="3">
        <v>6.2E-2</v>
      </c>
      <c r="BC16" s="3">
        <v>0.83</v>
      </c>
      <c r="BD16" s="3">
        <v>0.63</v>
      </c>
      <c r="BE16" s="3">
        <v>1.71</v>
      </c>
      <c r="BF16" s="3">
        <v>7.27</v>
      </c>
      <c r="BG16" s="3">
        <v>4.8600000000000003</v>
      </c>
      <c r="BH16" s="3">
        <v>0.31</v>
      </c>
      <c r="BI16" s="3">
        <v>12.7</v>
      </c>
    </row>
    <row r="17" spans="1:61" x14ac:dyDescent="0.2">
      <c r="A17" s="1">
        <v>43700</v>
      </c>
      <c r="B17" s="2">
        <f>B12+7*8</f>
        <v>162</v>
      </c>
      <c r="C17">
        <f t="shared" si="0"/>
        <v>23.142857142857142</v>
      </c>
      <c r="D17" t="s">
        <v>82</v>
      </c>
      <c r="E17">
        <v>9900</v>
      </c>
      <c r="F17">
        <v>34.5</v>
      </c>
      <c r="G17" s="2">
        <f t="shared" si="1"/>
        <v>3415.4999999999995</v>
      </c>
      <c r="H17">
        <v>59.5</v>
      </c>
      <c r="I17" s="2">
        <f t="shared" si="2"/>
        <v>5890.5</v>
      </c>
      <c r="J17">
        <v>4.2</v>
      </c>
      <c r="K17" s="2">
        <f t="shared" si="3"/>
        <v>415.8</v>
      </c>
      <c r="L17">
        <v>0.6</v>
      </c>
      <c r="M17" s="2">
        <f t="shared" si="4"/>
        <v>59.4</v>
      </c>
      <c r="N17">
        <v>1.2</v>
      </c>
      <c r="O17" s="2">
        <f t="shared" si="5"/>
        <v>118.8</v>
      </c>
      <c r="P17">
        <v>299</v>
      </c>
      <c r="Q17" s="16">
        <f>(I17+K17)*(51.2/100)*(81.5/100)</f>
        <v>2631.4928639999998</v>
      </c>
      <c r="R17">
        <f>(I17+K17)*(47/100)</f>
        <v>2963.9609999999998</v>
      </c>
      <c r="S17" s="3">
        <f>R17*(0.03/100)</f>
        <v>0.88918829999999982</v>
      </c>
      <c r="T17" s="3">
        <f>(I17+K17)*(51.2/100)*(4.32/100)</f>
        <v>139.48526592000002</v>
      </c>
      <c r="U17" s="3">
        <v>86.1</v>
      </c>
      <c r="V17" s="3">
        <f>(I17+K17)*(51.2/100)*(0.31/100)</f>
        <v>10.009359359999999</v>
      </c>
      <c r="W17">
        <v>44.6</v>
      </c>
      <c r="X17">
        <f>(52/(52+10.9+7.64))*100</f>
        <v>73.717039977317839</v>
      </c>
      <c r="Y17">
        <f>(10.9/(52+10.9+7.64))*100</f>
        <v>15.452225687553165</v>
      </c>
      <c r="Z17">
        <f>(7.64/(52+10.9+7.64))*100</f>
        <v>10.830734335129005</v>
      </c>
      <c r="AA17">
        <f>0.083</f>
        <v>8.3000000000000004E-2</v>
      </c>
      <c r="AB17">
        <f>8.13+3.8</f>
        <v>11.93</v>
      </c>
      <c r="AC17">
        <f>5.81+63.9</f>
        <v>69.709999999999994</v>
      </c>
      <c r="AD17">
        <f>27</f>
        <v>27</v>
      </c>
      <c r="AE17">
        <f>76.8+8.13</f>
        <v>84.929999999999993</v>
      </c>
      <c r="AF17">
        <f>5.81+3.37</f>
        <v>9.18</v>
      </c>
      <c r="AG17">
        <f>(I17+K17)*(51.2/100)*(12.7/100)*(29.5/100)*(0.58/100)</f>
        <v>0.70161411640319993</v>
      </c>
      <c r="AI17" s="3">
        <f>I17*(54.9/100)*(58.8/100)</f>
        <v>1901.5240859999997</v>
      </c>
      <c r="AJ17" s="3">
        <f>I17*(54.9/100)*(33.4/100)</f>
        <v>1080.1174229999997</v>
      </c>
      <c r="AK17">
        <f t="shared" si="14"/>
        <v>1.7604790419161678</v>
      </c>
      <c r="AL17">
        <v>76.099999999999994</v>
      </c>
      <c r="AM17">
        <v>9.9</v>
      </c>
      <c r="AN17">
        <v>2.78</v>
      </c>
      <c r="AO17">
        <v>75</v>
      </c>
      <c r="AP17">
        <v>6.02</v>
      </c>
      <c r="AQ17">
        <v>6.86</v>
      </c>
      <c r="AR17">
        <v>0.2</v>
      </c>
      <c r="AS17">
        <v>0.91</v>
      </c>
      <c r="AT17">
        <v>0.36</v>
      </c>
      <c r="AU17">
        <v>3.04</v>
      </c>
      <c r="AV17">
        <v>4.01</v>
      </c>
      <c r="AW17">
        <v>3.79</v>
      </c>
      <c r="AX17" s="5">
        <v>1.75</v>
      </c>
      <c r="AY17" s="5">
        <v>3.21</v>
      </c>
      <c r="AZ17" s="5">
        <v>2.56</v>
      </c>
      <c r="BA17" s="3">
        <v>0.31</v>
      </c>
      <c r="BB17" s="3">
        <v>9.8000000000000004E-2</v>
      </c>
      <c r="BC17" s="3">
        <v>0.79</v>
      </c>
      <c r="BD17" s="3">
        <v>2.98</v>
      </c>
      <c r="BE17" s="3">
        <v>1.06</v>
      </c>
      <c r="BF17" s="3">
        <v>6.24</v>
      </c>
      <c r="BG17" s="3">
        <v>8.1199999999999992</v>
      </c>
      <c r="BH17" s="3">
        <v>0.25</v>
      </c>
      <c r="BI17" s="3">
        <v>10.8</v>
      </c>
    </row>
    <row r="18" spans="1:61" x14ac:dyDescent="0.2">
      <c r="A18" s="1">
        <v>42616</v>
      </c>
      <c r="B18" s="2">
        <f>B12+7*10-3</f>
        <v>173</v>
      </c>
      <c r="C18">
        <f t="shared" si="0"/>
        <v>24.714285714285715</v>
      </c>
      <c r="D18" t="s">
        <v>83</v>
      </c>
      <c r="E18">
        <v>7700</v>
      </c>
      <c r="F18">
        <v>25.9</v>
      </c>
      <c r="G18" s="2">
        <f t="shared" si="1"/>
        <v>1994.3</v>
      </c>
      <c r="H18">
        <v>69</v>
      </c>
      <c r="I18" s="2">
        <f t="shared" si="2"/>
        <v>5313</v>
      </c>
      <c r="J18">
        <v>3.4</v>
      </c>
      <c r="K18" s="2">
        <f t="shared" si="3"/>
        <v>261.8</v>
      </c>
      <c r="L18">
        <v>0.6</v>
      </c>
      <c r="M18" s="2">
        <f t="shared" si="4"/>
        <v>46.2</v>
      </c>
      <c r="N18">
        <v>1.1000000000000001</v>
      </c>
      <c r="O18" s="2">
        <f t="shared" si="5"/>
        <v>84.7</v>
      </c>
      <c r="P18">
        <v>222</v>
      </c>
      <c r="Q18" s="16">
        <f>(I18+K18)*(57.1/100)*(81.7/100)</f>
        <v>2600.6832236000005</v>
      </c>
      <c r="R18">
        <f>(I18+K18)*(41.5/100)</f>
        <v>2313.5419999999999</v>
      </c>
      <c r="S18" s="3">
        <f>R18*(0.038/100)</f>
        <v>0.87914595999999989</v>
      </c>
      <c r="T18" s="3">
        <f>(I18+K18)*(57.1/100)*(4.9/100)</f>
        <v>155.97732920000001</v>
      </c>
      <c r="U18" s="3">
        <v>89.2</v>
      </c>
      <c r="V18" s="3">
        <f>(I18+K18)*(57.1/100)*(0.7/100)</f>
        <v>22.282475600000001</v>
      </c>
      <c r="W18">
        <v>64.3</v>
      </c>
      <c r="X18">
        <f>(39.9/(39.9+16.7+18.1))*100</f>
        <v>53.413654618473906</v>
      </c>
      <c r="Y18">
        <f>(16.7/(39.9+16.7+18.1))*100</f>
        <v>22.35609103078983</v>
      </c>
      <c r="Z18">
        <f>(18.1/(39.9+16.7+18.1))*100</f>
        <v>24.230254350736281</v>
      </c>
      <c r="AA18">
        <f>0.53+0.074</f>
        <v>0.60399999999999998</v>
      </c>
      <c r="AB18">
        <f>33.7+3.54</f>
        <v>37.24</v>
      </c>
      <c r="AC18">
        <f>23.2+74.4</f>
        <v>97.600000000000009</v>
      </c>
      <c r="AD18">
        <f>70.3+0.53</f>
        <v>70.83</v>
      </c>
      <c r="AE18">
        <f>33.7+61.7</f>
        <v>95.4</v>
      </c>
      <c r="AF18">
        <f>0.72+23.2</f>
        <v>23.919999999999998</v>
      </c>
      <c r="AG18">
        <f>(I18+K18)*(57.1/100)*(9.61/100)*(25.3/100)*(2.22/100)</f>
        <v>1.718154772988808</v>
      </c>
      <c r="AI18" s="3">
        <f>I18*(40.8/100)*(55.6/100)</f>
        <v>1205.243424</v>
      </c>
      <c r="AJ18" s="3">
        <f>I18*(40.8/100)*(34.4/100)</f>
        <v>745.69017599999984</v>
      </c>
      <c r="AK18">
        <f t="shared" ref="AK18" si="15">AI18/AJ18</f>
        <v>1.6162790697674423</v>
      </c>
      <c r="AL18">
        <v>70.8</v>
      </c>
      <c r="AM18">
        <v>17.2</v>
      </c>
      <c r="AN18">
        <v>2.23</v>
      </c>
      <c r="AO18">
        <v>62.8</v>
      </c>
      <c r="AP18">
        <v>10.7</v>
      </c>
      <c r="AQ18">
        <v>13.3</v>
      </c>
      <c r="AR18">
        <v>0.32</v>
      </c>
      <c r="AS18">
        <v>1.87</v>
      </c>
      <c r="AT18">
        <v>0.46</v>
      </c>
      <c r="AU18">
        <v>1.66</v>
      </c>
      <c r="AV18">
        <v>6.65</v>
      </c>
      <c r="AW18">
        <v>3.52</v>
      </c>
      <c r="AX18" s="5">
        <v>1.23</v>
      </c>
      <c r="AY18" s="5">
        <v>9.66</v>
      </c>
      <c r="AZ18" s="5">
        <v>3.3</v>
      </c>
      <c r="BA18" s="3">
        <v>0.59</v>
      </c>
      <c r="BB18" s="3">
        <v>0.28999999999999998</v>
      </c>
      <c r="BC18" s="3">
        <v>1.81</v>
      </c>
      <c r="BD18" s="3">
        <v>2.39</v>
      </c>
      <c r="BE18" s="3">
        <v>2.6</v>
      </c>
      <c r="BF18" s="3">
        <v>9.66</v>
      </c>
      <c r="BG18" s="3">
        <v>9.56</v>
      </c>
      <c r="BH18" s="3">
        <v>0.95</v>
      </c>
      <c r="BI18" s="3">
        <v>14.5</v>
      </c>
    </row>
    <row r="22" spans="1:61" x14ac:dyDescent="0.2">
      <c r="A22" s="5" t="s">
        <v>38</v>
      </c>
    </row>
    <row r="23" spans="1:61" x14ac:dyDescent="0.2">
      <c r="A23" s="4" t="s">
        <v>132</v>
      </c>
    </row>
    <row r="24" spans="1:61" x14ac:dyDescent="0.2">
      <c r="A24" s="17" t="s">
        <v>77</v>
      </c>
    </row>
    <row r="26" spans="1:61" x14ac:dyDescent="0.2">
      <c r="A26" t="s">
        <v>84</v>
      </c>
    </row>
  </sheetData>
  <mergeCells count="10">
    <mergeCell ref="Q1:AH2"/>
    <mergeCell ref="E1:P2"/>
    <mergeCell ref="BG2:BI2"/>
    <mergeCell ref="AR1:BI1"/>
    <mergeCell ref="AI1:AQ2"/>
    <mergeCell ref="AR2:AT2"/>
    <mergeCell ref="AU2:AW2"/>
    <mergeCell ref="AX2:AZ2"/>
    <mergeCell ref="BA2:BC2"/>
    <mergeCell ref="BD2:B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F4D9A-5194-1A45-9A15-8080A9EFF034}">
  <sheetPr>
    <tabColor rgb="FF0070C0"/>
  </sheetPr>
  <dimension ref="A1:BI26"/>
  <sheetViews>
    <sheetView workbookViewId="0">
      <pane xSplit="4" ySplit="2" topLeftCell="AP3" activePane="bottomRight" state="frozen"/>
      <selection activeCell="R24" sqref="R24"/>
      <selection pane="topRight" activeCell="R24" sqref="R24"/>
      <selection pane="bottomLeft" activeCell="R24" sqref="R24"/>
      <selection pane="bottomRight" activeCell="BG28" sqref="BG28"/>
    </sheetView>
  </sheetViews>
  <sheetFormatPr baseColWidth="10" defaultColWidth="11" defaultRowHeight="16" x14ac:dyDescent="0.2"/>
  <cols>
    <col min="1" max="1" width="9.5" customWidth="1"/>
    <col min="2" max="2" width="9.83203125" style="2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38362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s="3" customFormat="1" x14ac:dyDescent="0.2">
      <c r="A4" s="15">
        <v>43588</v>
      </c>
      <c r="B4" s="16">
        <v>14</v>
      </c>
      <c r="C4" s="3">
        <f>B4/7</f>
        <v>2</v>
      </c>
      <c r="D4" s="3" t="s">
        <v>24</v>
      </c>
      <c r="E4" s="3">
        <v>6800</v>
      </c>
      <c r="F4" s="3">
        <v>34.700000000000003</v>
      </c>
      <c r="G4" s="16">
        <f>E4*(F4/100)</f>
        <v>2359.6000000000004</v>
      </c>
      <c r="H4" s="3">
        <v>55.1</v>
      </c>
      <c r="I4" s="16">
        <f>E4*(H4/100)</f>
        <v>3746.8</v>
      </c>
      <c r="J4" s="3">
        <v>6</v>
      </c>
      <c r="K4" s="16">
        <f>E4*(J4/100)</f>
        <v>408</v>
      </c>
      <c r="L4" s="3">
        <v>3.4</v>
      </c>
      <c r="M4" s="16">
        <f>E4*(L4/100)</f>
        <v>231.20000000000002</v>
      </c>
      <c r="N4" s="3">
        <v>0.8</v>
      </c>
      <c r="O4" s="16">
        <f>E4*(N4/100)</f>
        <v>54.4</v>
      </c>
      <c r="P4" s="16">
        <v>498</v>
      </c>
      <c r="Q4" s="16">
        <f>(I4+K4)*(51/100)*(35.3/100)</f>
        <v>747.98864400000002</v>
      </c>
      <c r="R4">
        <f>(I4+K4)*(46.6/100)</f>
        <v>1936.1368000000002</v>
      </c>
      <c r="S4" s="3">
        <f>R4*(0.05/100)</f>
        <v>0.96806840000000016</v>
      </c>
      <c r="T4" s="3">
        <f>(I4+K4)*(51/100)*(14.9/100)</f>
        <v>315.72325200000006</v>
      </c>
      <c r="U4" s="3">
        <v>85</v>
      </c>
      <c r="V4" s="3">
        <f>(I4+K4)*(51/100)*(2.49/100)</f>
        <v>52.761805200000012</v>
      </c>
      <c r="W4">
        <v>50.3</v>
      </c>
      <c r="X4">
        <f>(68.6/(68.6+12.8+12.5))*100</f>
        <v>73.056443024494143</v>
      </c>
      <c r="Y4">
        <f>(12.8/(68.6+12.8+12.5))*100</f>
        <v>13.631522896698616</v>
      </c>
      <c r="Z4">
        <f>(12.5/(68.6+12.8+12.5))*100</f>
        <v>13.312034078807242</v>
      </c>
      <c r="AA4">
        <f>1.13+0.12</f>
        <v>1.25</v>
      </c>
      <c r="AB4">
        <f>41+1.8</f>
        <v>42.8</v>
      </c>
      <c r="AC4">
        <f>11+69.8</f>
        <v>80.8</v>
      </c>
      <c r="AD4">
        <f>76.7+1.13</f>
        <v>77.83</v>
      </c>
      <c r="AE4">
        <f>56.5+41</f>
        <v>97.5</v>
      </c>
      <c r="AF4">
        <f>2.5+11</f>
        <v>13.5</v>
      </c>
      <c r="AG4">
        <f>(I4+K4)*(51/100)*(45.5/100)*(6.16/100)*(3.21/100)</f>
        <v>1.9064149728624</v>
      </c>
      <c r="AH4"/>
      <c r="AI4">
        <f>I4*(50.2/100)*(75.2/100)</f>
        <v>1414.4319872000001</v>
      </c>
      <c r="AJ4">
        <f>I4*(50.2/100)*(14.4/100)</f>
        <v>270.84867840000004</v>
      </c>
      <c r="AK4">
        <f t="shared" ref="AK4:AK9" si="0">AI4/AJ4</f>
        <v>5.2222222222222214</v>
      </c>
      <c r="AL4" s="3">
        <v>78.2</v>
      </c>
      <c r="AM4" s="3">
        <v>16.3</v>
      </c>
      <c r="AN4" s="30">
        <v>0.26</v>
      </c>
      <c r="AO4" s="3">
        <v>47.3</v>
      </c>
      <c r="AP4" s="3">
        <v>8.8699999999999992</v>
      </c>
      <c r="AQ4" s="3">
        <v>22.4</v>
      </c>
      <c r="AR4" s="3">
        <v>0.14000000000000001</v>
      </c>
      <c r="AS4" s="3">
        <v>3.91</v>
      </c>
      <c r="AT4" s="3">
        <v>5.6000000000000001E-2</v>
      </c>
      <c r="AU4" s="3">
        <v>1.0900000000000001</v>
      </c>
      <c r="AV4" s="3">
        <v>14.2</v>
      </c>
      <c r="AW4" s="3">
        <v>0.93</v>
      </c>
      <c r="AX4" s="5">
        <v>4.5199999999999996</v>
      </c>
      <c r="AY4" s="5">
        <v>56.3</v>
      </c>
      <c r="AZ4" s="5">
        <v>1.01</v>
      </c>
      <c r="BA4" s="3">
        <v>0.42</v>
      </c>
      <c r="BB4" s="3">
        <v>0.65</v>
      </c>
      <c r="BC4" s="3">
        <v>2.2200000000000002</v>
      </c>
      <c r="BD4" s="3">
        <v>2.72</v>
      </c>
      <c r="BE4" s="3">
        <v>5.13</v>
      </c>
      <c r="BF4" s="3">
        <v>9.1300000000000008</v>
      </c>
      <c r="BG4" s="3">
        <v>17.5</v>
      </c>
      <c r="BH4" s="3">
        <v>0.84</v>
      </c>
      <c r="BI4" s="3">
        <v>4.5599999999999996</v>
      </c>
    </row>
    <row r="5" spans="1:61" x14ac:dyDescent="0.2">
      <c r="A5" s="1">
        <v>43592</v>
      </c>
      <c r="B5" s="2">
        <f>B4+4</f>
        <v>18</v>
      </c>
      <c r="C5">
        <f t="shared" ref="C5:C18" si="1">B5/7</f>
        <v>2.5714285714285716</v>
      </c>
      <c r="D5" t="s">
        <v>25</v>
      </c>
      <c r="E5">
        <v>6600</v>
      </c>
      <c r="F5">
        <v>31.4</v>
      </c>
      <c r="G5" s="2">
        <f t="shared" ref="G5:G18" si="2">E5*(F5/100)</f>
        <v>2072.4</v>
      </c>
      <c r="H5">
        <v>63.3</v>
      </c>
      <c r="I5" s="2">
        <f t="shared" ref="I5:I18" si="3">E5*(H5/100)</f>
        <v>4177.8</v>
      </c>
      <c r="J5">
        <v>3.5</v>
      </c>
      <c r="K5" s="2">
        <f t="shared" ref="K5:K18" si="4">E5*(J5/100)</f>
        <v>231.00000000000003</v>
      </c>
      <c r="L5">
        <v>1</v>
      </c>
      <c r="M5" s="2">
        <f t="shared" ref="M5:M18" si="5">E5*(L5/100)</f>
        <v>66</v>
      </c>
      <c r="N5">
        <v>0.8</v>
      </c>
      <c r="O5" s="2">
        <f t="shared" ref="O5:O18" si="6">E5*(N5/100)</f>
        <v>52.800000000000004</v>
      </c>
      <c r="P5" s="2">
        <v>335</v>
      </c>
      <c r="Q5" s="16">
        <f>(I5+K5)*(55.2/100)*(53.7/100)</f>
        <v>1306.8741312000004</v>
      </c>
      <c r="R5">
        <f>(I5+K5)*(43.4/100)</f>
        <v>1913.4192</v>
      </c>
      <c r="S5" s="3">
        <f>R5*(0.033/100)</f>
        <v>0.63142833600000003</v>
      </c>
      <c r="T5" s="3">
        <f>(I5+K5)*(55.2/100)*(9.82/100)</f>
        <v>238.98517632000008</v>
      </c>
      <c r="U5" s="3">
        <v>81.2</v>
      </c>
      <c r="V5" s="3">
        <f>(I5+K5)*(55.2/100)*(1.68/100)</f>
        <v>40.885447680000006</v>
      </c>
      <c r="W5">
        <v>44.8</v>
      </c>
      <c r="X5">
        <f>(77.3/(77.3+9.88+8.95))*100</f>
        <v>80.411942161656086</v>
      </c>
      <c r="Y5">
        <f>(9.88/(77.3+9.88+8.95))*100</f>
        <v>10.277748881722669</v>
      </c>
      <c r="Z5">
        <f>(8.95/(77.3+9.88+8.95))*100</f>
        <v>9.3103089566212418</v>
      </c>
      <c r="AA5">
        <f>1.5+0.041</f>
        <v>1.5409999999999999</v>
      </c>
      <c r="AB5">
        <f>44.7+1.28</f>
        <v>45.980000000000004</v>
      </c>
      <c r="AC5">
        <f>14.9+63.3</f>
        <v>78.2</v>
      </c>
      <c r="AD5">
        <f>92+1.5</f>
        <v>93.5</v>
      </c>
      <c r="AE5">
        <f>53.5+44.7</f>
        <v>98.2</v>
      </c>
      <c r="AF5">
        <f>3.58+14.9</f>
        <v>18.48</v>
      </c>
      <c r="AG5">
        <f>(I5+K5)*(55.2/100)*(33.2/100)*(3.88/100)*(6.23/100)</f>
        <v>1.9530678530119685</v>
      </c>
      <c r="AH5" s="3"/>
      <c r="AI5">
        <f>I5*(47.6/100)*(73.6/100)</f>
        <v>1463.6337408000002</v>
      </c>
      <c r="AJ5">
        <f>I5*(47.6/100)*(15.8/100)</f>
        <v>314.20398240000003</v>
      </c>
      <c r="AK5">
        <f t="shared" si="0"/>
        <v>4.6582278481012658</v>
      </c>
      <c r="AL5">
        <v>78</v>
      </c>
      <c r="AM5">
        <v>17.2</v>
      </c>
      <c r="AN5">
        <v>0.23</v>
      </c>
      <c r="AO5" s="3">
        <v>49.4</v>
      </c>
      <c r="AP5" s="3">
        <v>7.97</v>
      </c>
      <c r="AQ5" s="3">
        <v>16.7</v>
      </c>
      <c r="AR5" s="3">
        <v>0.16</v>
      </c>
      <c r="AS5" s="3">
        <v>4.24</v>
      </c>
      <c r="AT5" s="3">
        <v>7.2999999999999995E-2</v>
      </c>
      <c r="AU5" s="3">
        <v>1.39</v>
      </c>
      <c r="AV5" s="3">
        <v>16.7</v>
      </c>
      <c r="AW5" s="3">
        <v>1.46</v>
      </c>
      <c r="AX5" s="5">
        <v>3.09</v>
      </c>
      <c r="AY5" s="5">
        <v>64.400000000000006</v>
      </c>
      <c r="AZ5" s="5">
        <v>2.58</v>
      </c>
      <c r="BA5" s="3">
        <v>0.43</v>
      </c>
      <c r="BB5" s="3">
        <v>0.87</v>
      </c>
      <c r="BC5" s="3">
        <v>0.6</v>
      </c>
      <c r="BD5" s="3">
        <v>3.03</v>
      </c>
      <c r="BE5" s="3">
        <v>5.77</v>
      </c>
      <c r="BF5" s="3">
        <v>5.99</v>
      </c>
      <c r="BG5" s="3">
        <v>20.7</v>
      </c>
      <c r="BH5" s="3">
        <v>0.94</v>
      </c>
      <c r="BI5" s="3">
        <v>2.82</v>
      </c>
    </row>
    <row r="6" spans="1:61" x14ac:dyDescent="0.2">
      <c r="A6" s="1">
        <v>43598</v>
      </c>
      <c r="B6" s="2">
        <f>B4+10</f>
        <v>24</v>
      </c>
      <c r="C6">
        <f t="shared" si="1"/>
        <v>3.4285714285714284</v>
      </c>
      <c r="D6" t="s">
        <v>26</v>
      </c>
      <c r="E6" s="17">
        <v>5500</v>
      </c>
      <c r="F6" s="17" t="s">
        <v>78</v>
      </c>
      <c r="G6" s="18" t="e">
        <f t="shared" si="2"/>
        <v>#VALUE!</v>
      </c>
      <c r="H6" s="17">
        <v>65.8</v>
      </c>
      <c r="I6" s="18">
        <f t="shared" si="3"/>
        <v>3618.9999999999995</v>
      </c>
      <c r="J6" s="17">
        <v>9.5</v>
      </c>
      <c r="K6" s="18">
        <f t="shared" si="4"/>
        <v>522.5</v>
      </c>
      <c r="L6" s="17" t="s">
        <v>78</v>
      </c>
      <c r="M6" s="18" t="e">
        <f t="shared" si="5"/>
        <v>#VALUE!</v>
      </c>
      <c r="N6" s="17">
        <v>1</v>
      </c>
      <c r="O6" s="18">
        <f t="shared" si="6"/>
        <v>55</v>
      </c>
      <c r="P6" s="18">
        <v>353</v>
      </c>
      <c r="Q6" s="16">
        <f>(I6+K6)*(57.1/100)*(64.7/100)</f>
        <v>1530.0233355000003</v>
      </c>
      <c r="R6">
        <f>(I6+K6)*(41.1/100)</f>
        <v>1702.1565000000001</v>
      </c>
      <c r="S6" s="3">
        <f>R6*(0.051/100)</f>
        <v>0.86809981499999989</v>
      </c>
      <c r="T6" s="3">
        <f>(I6+K6)*(57.1/100)*(7.92/100)</f>
        <v>187.29188280000002</v>
      </c>
      <c r="U6" s="3">
        <v>82.7</v>
      </c>
      <c r="V6" s="3">
        <f>(I6+K6)*(57.1/100)*(1.25/100)</f>
        <v>29.559956250000006</v>
      </c>
      <c r="W6">
        <v>40.799999999999997</v>
      </c>
      <c r="X6">
        <f>(62.7/(62.7+10.4+20))*100</f>
        <v>67.346938775510196</v>
      </c>
      <c r="Y6">
        <f>(10.4/(62.7+10.4+20))*100</f>
        <v>11.170784103114929</v>
      </c>
      <c r="Z6">
        <f>(20/(62.7+10.4+20))*100</f>
        <v>21.482277121374864</v>
      </c>
      <c r="AA6">
        <f>3.42+0.2</f>
        <v>3.62</v>
      </c>
      <c r="AB6">
        <f>70+1.62</f>
        <v>71.62</v>
      </c>
      <c r="AC6">
        <f>29+66.9</f>
        <v>95.9</v>
      </c>
      <c r="AD6">
        <f>91.1+3.42</f>
        <v>94.52</v>
      </c>
      <c r="AE6">
        <f>28.3+70</f>
        <v>98.3</v>
      </c>
      <c r="AF6">
        <f>1.24+29</f>
        <v>30.24</v>
      </c>
      <c r="AG6">
        <f>(I6+K6)*(57.1/100)*(24.7/100)*(6.93/100)*(4.52/100)</f>
        <v>1.8296263092907801</v>
      </c>
      <c r="AI6" s="17">
        <f>I6*(43/100)*(76.2/100)</f>
        <v>1185.8015399999999</v>
      </c>
      <c r="AJ6" s="17">
        <f>I6*(43/100)*(12.8/100)</f>
        <v>199.18975999999998</v>
      </c>
      <c r="AK6">
        <f t="shared" si="0"/>
        <v>5.953125</v>
      </c>
      <c r="AL6">
        <v>72.5</v>
      </c>
      <c r="AM6">
        <v>21.3</v>
      </c>
      <c r="AN6">
        <v>0.21</v>
      </c>
      <c r="AO6" s="3">
        <v>29.7</v>
      </c>
      <c r="AP6" s="3">
        <v>10.7</v>
      </c>
      <c r="AQ6" s="3">
        <v>37.700000000000003</v>
      </c>
      <c r="AR6" s="3">
        <v>0.22</v>
      </c>
      <c r="AS6" s="3">
        <v>3.74</v>
      </c>
      <c r="AT6" s="3">
        <v>6.3E-2</v>
      </c>
      <c r="AU6" s="3">
        <v>4.4000000000000004</v>
      </c>
      <c r="AV6" s="3">
        <v>11.6</v>
      </c>
      <c r="AW6" s="3">
        <v>1.96</v>
      </c>
      <c r="AX6" s="5">
        <v>6.87</v>
      </c>
      <c r="AY6" s="5">
        <v>60.3</v>
      </c>
      <c r="AZ6" s="5">
        <v>3.05</v>
      </c>
      <c r="BA6" s="3">
        <v>0.38</v>
      </c>
      <c r="BB6" s="3">
        <v>1.01</v>
      </c>
      <c r="BC6" s="3">
        <v>0.51</v>
      </c>
      <c r="BD6" s="3">
        <v>5.55</v>
      </c>
      <c r="BE6" s="3">
        <v>3.79</v>
      </c>
      <c r="BF6" s="3">
        <v>5.55</v>
      </c>
      <c r="BG6" s="3">
        <v>9.9600000000000009</v>
      </c>
      <c r="BH6" s="3">
        <v>0.7</v>
      </c>
      <c r="BI6" s="3">
        <v>1.62</v>
      </c>
    </row>
    <row r="7" spans="1:61" x14ac:dyDescent="0.2">
      <c r="A7" s="1">
        <v>43616</v>
      </c>
      <c r="B7" s="2">
        <f>B4+28</f>
        <v>42</v>
      </c>
      <c r="C7">
        <f t="shared" si="1"/>
        <v>6</v>
      </c>
      <c r="D7" t="s">
        <v>33</v>
      </c>
      <c r="E7">
        <v>7900</v>
      </c>
      <c r="F7">
        <v>26.6</v>
      </c>
      <c r="G7" s="2">
        <f t="shared" si="2"/>
        <v>2101.4</v>
      </c>
      <c r="H7">
        <v>68.599999999999994</v>
      </c>
      <c r="I7" s="2">
        <f t="shared" si="3"/>
        <v>5419.4</v>
      </c>
      <c r="J7">
        <v>3.3</v>
      </c>
      <c r="K7" s="2">
        <f t="shared" si="4"/>
        <v>260.7</v>
      </c>
      <c r="L7">
        <v>0.8</v>
      </c>
      <c r="M7" s="2">
        <f t="shared" si="5"/>
        <v>63.2</v>
      </c>
      <c r="N7">
        <v>0.7</v>
      </c>
      <c r="O7" s="2">
        <f t="shared" si="6"/>
        <v>55.3</v>
      </c>
      <c r="P7">
        <v>370</v>
      </c>
      <c r="Q7" s="16">
        <f>(I7+K7)*(57/100)*(70.3/100)</f>
        <v>2276.0728709999994</v>
      </c>
      <c r="R7">
        <f>(I7+K7)*(39.4/100)</f>
        <v>2237.9593999999997</v>
      </c>
      <c r="S7" s="3">
        <f>R7*(0.049/100)</f>
        <v>1.0966001059999999</v>
      </c>
      <c r="T7" s="3">
        <f>(I7+K7)*(57/100)*(11.6/100)</f>
        <v>375.5682119999999</v>
      </c>
      <c r="U7" s="3">
        <v>89.8</v>
      </c>
      <c r="V7" s="3">
        <f>(I7+K7)*(57/100)*(1.07/100)</f>
        <v>34.642929899999999</v>
      </c>
      <c r="W7">
        <v>49.3</v>
      </c>
      <c r="X7">
        <f>(71.3/(71.3+7.49+12.9))*100</f>
        <v>77.762024212018758</v>
      </c>
      <c r="Y7">
        <f>(7.49/(71.3+7.49+12.9))*100</f>
        <v>8.1688297524266549</v>
      </c>
      <c r="Z7">
        <f>(12.9/(71.3+7.49+12.9))*100</f>
        <v>14.069146035554587</v>
      </c>
      <c r="AA7">
        <f>0.28+0.058</f>
        <v>0.33800000000000002</v>
      </c>
      <c r="AB7">
        <f>18+2.38</f>
        <v>20.38</v>
      </c>
      <c r="AC7">
        <f>9.3+66.7</f>
        <v>76</v>
      </c>
      <c r="AD7">
        <f>80.3+0.28</f>
        <v>80.58</v>
      </c>
      <c r="AE7">
        <f>78.2+18</f>
        <v>96.2</v>
      </c>
      <c r="AF7">
        <f>3.44+9.3</f>
        <v>12.74</v>
      </c>
      <c r="AG7">
        <f>(I7+K7)*(57/100)*(15.9/100)*(8.33/100)*(1.92/100)</f>
        <v>0.82333047682367977</v>
      </c>
      <c r="AI7" s="3">
        <f>I7*(42.5/100)*(75/100)</f>
        <v>1727.4337499999999</v>
      </c>
      <c r="AJ7" s="3">
        <f>I7*(42.5/100)*(15/100)</f>
        <v>345.48674999999997</v>
      </c>
      <c r="AK7" s="3">
        <f t="shared" si="0"/>
        <v>5</v>
      </c>
      <c r="AL7">
        <v>81.599999999999994</v>
      </c>
      <c r="AM7">
        <v>14.3</v>
      </c>
      <c r="AN7">
        <v>0.43</v>
      </c>
      <c r="AO7" s="3">
        <v>67.7</v>
      </c>
      <c r="AP7" s="3">
        <v>8.39</v>
      </c>
      <c r="AQ7" s="14">
        <v>12.4</v>
      </c>
      <c r="AR7" s="3">
        <v>0.19</v>
      </c>
      <c r="AS7" s="3">
        <v>3.63</v>
      </c>
      <c r="AT7" s="3">
        <v>0.23</v>
      </c>
      <c r="AU7" s="3">
        <v>0.99</v>
      </c>
      <c r="AV7" s="3">
        <v>14</v>
      </c>
      <c r="AW7" s="3">
        <v>0.93</v>
      </c>
      <c r="AX7" s="5">
        <v>8.42</v>
      </c>
      <c r="AY7" s="5">
        <v>31.4</v>
      </c>
      <c r="AZ7" s="5">
        <v>2.2999999999999998</v>
      </c>
      <c r="BA7" s="3">
        <v>0.36</v>
      </c>
      <c r="BB7" s="3">
        <v>0.6</v>
      </c>
      <c r="BC7" s="3">
        <v>0.79</v>
      </c>
      <c r="BD7" s="3">
        <v>2.4700000000000002</v>
      </c>
      <c r="BE7" s="3">
        <v>3.37</v>
      </c>
      <c r="BF7" s="3">
        <v>3.05</v>
      </c>
      <c r="BG7" s="3">
        <v>13.7</v>
      </c>
      <c r="BH7" s="3">
        <v>1.36</v>
      </c>
      <c r="BI7" s="3">
        <v>3.83</v>
      </c>
    </row>
    <row r="8" spans="1:61" x14ac:dyDescent="0.2">
      <c r="A8" s="1">
        <v>43630</v>
      </c>
      <c r="B8" s="2">
        <f>B4+6*7</f>
        <v>56</v>
      </c>
      <c r="C8">
        <f t="shared" si="1"/>
        <v>8</v>
      </c>
      <c r="D8" t="s">
        <v>34</v>
      </c>
      <c r="E8">
        <v>9200</v>
      </c>
      <c r="F8">
        <v>37.1</v>
      </c>
      <c r="G8" s="2">
        <f t="shared" si="2"/>
        <v>3413.2</v>
      </c>
      <c r="H8">
        <v>53.8</v>
      </c>
      <c r="I8" s="2">
        <f t="shared" si="3"/>
        <v>4949.5999999999995</v>
      </c>
      <c r="J8">
        <v>7.2</v>
      </c>
      <c r="K8" s="2">
        <f t="shared" si="4"/>
        <v>662.40000000000009</v>
      </c>
      <c r="L8">
        <v>1.1000000000000001</v>
      </c>
      <c r="M8" s="2">
        <f t="shared" si="5"/>
        <v>101.20000000000002</v>
      </c>
      <c r="N8">
        <v>0.8</v>
      </c>
      <c r="O8" s="2">
        <f t="shared" si="6"/>
        <v>73.600000000000009</v>
      </c>
      <c r="P8">
        <v>328</v>
      </c>
      <c r="Q8" s="16">
        <f>(I8+K8)*(51.9/100)*(57.9/100)</f>
        <v>1686.4116119999999</v>
      </c>
      <c r="R8">
        <f>(I8+K8)*(43.2/100)</f>
        <v>2424.3840000000005</v>
      </c>
      <c r="S8" s="3">
        <f>R8*(0.048/100)</f>
        <v>1.1637043200000003</v>
      </c>
      <c r="T8" s="3">
        <f>(I8+K8)*(51.9/100)*(5.01/100)</f>
        <v>145.92266280000001</v>
      </c>
      <c r="U8" s="3">
        <v>84.5</v>
      </c>
      <c r="V8" s="3">
        <f>(I8+K8)*(51.9/100)*(0.7/100)</f>
        <v>20.388396</v>
      </c>
      <c r="W8">
        <v>37.4</v>
      </c>
      <c r="X8">
        <f>(64.6/(64.6+17.9+12.5))*100</f>
        <v>68</v>
      </c>
      <c r="Y8">
        <f>(17.9/(64.6+17.9+12.5))*100</f>
        <v>18.842105263157894</v>
      </c>
      <c r="Z8">
        <f>(12.5/(64.6+17.9+12.5))*100</f>
        <v>13.157894736842104</v>
      </c>
      <c r="AA8">
        <f>0.1+0.017</f>
        <v>0.11700000000000001</v>
      </c>
      <c r="AB8">
        <f>12.2+1.32</f>
        <v>13.52</v>
      </c>
      <c r="AC8">
        <f>7.56+39.8</f>
        <v>47.36</v>
      </c>
      <c r="AD8">
        <f>66.2+0.1</f>
        <v>66.3</v>
      </c>
      <c r="AE8">
        <f>12.2+83.3</f>
        <v>95.5</v>
      </c>
      <c r="AF8">
        <f>7.56+10.2</f>
        <v>17.759999999999998</v>
      </c>
      <c r="AG8">
        <f>(I8+K8)*(51.9/100)*(35/100)*(4.96/100)*(3.14/100)</f>
        <v>1.5876851733120001</v>
      </c>
      <c r="AI8" s="3">
        <f>I8*(47.1/100)*(73.3/100)</f>
        <v>1708.8147527999997</v>
      </c>
      <c r="AJ8" s="3">
        <f>I8*(47.1/100)*(15.3/100)</f>
        <v>356.68302479999994</v>
      </c>
      <c r="AK8" s="3">
        <f t="shared" si="0"/>
        <v>4.7908496732026142</v>
      </c>
      <c r="AL8">
        <v>76.3</v>
      </c>
      <c r="AM8">
        <v>19</v>
      </c>
      <c r="AN8">
        <v>0.34</v>
      </c>
      <c r="AO8" s="3">
        <v>69.7</v>
      </c>
      <c r="AP8" s="3">
        <v>7.28</v>
      </c>
      <c r="AQ8" s="3">
        <v>10.5</v>
      </c>
      <c r="AR8" s="3">
        <v>0.2</v>
      </c>
      <c r="AS8" s="3">
        <v>4.41</v>
      </c>
      <c r="AT8" s="3">
        <v>0.17</v>
      </c>
      <c r="AU8" s="3">
        <v>1</v>
      </c>
      <c r="AV8" s="3">
        <v>16.3</v>
      </c>
      <c r="AW8" s="3">
        <v>1.42</v>
      </c>
      <c r="AX8" s="5">
        <v>12</v>
      </c>
      <c r="AY8" s="5">
        <v>35.4</v>
      </c>
      <c r="AZ8" s="5">
        <v>4.38</v>
      </c>
      <c r="BA8" s="3">
        <v>0.59</v>
      </c>
      <c r="BB8" s="3">
        <v>0.95</v>
      </c>
      <c r="BC8" s="3">
        <v>0.35</v>
      </c>
      <c r="BD8" s="3">
        <v>3.06</v>
      </c>
      <c r="BE8" s="3">
        <v>8.4700000000000006</v>
      </c>
      <c r="BF8" s="3">
        <v>2.98</v>
      </c>
      <c r="BG8" s="3">
        <v>15.6</v>
      </c>
      <c r="BH8" s="3">
        <v>2.52</v>
      </c>
      <c r="BI8" s="3">
        <v>2.35</v>
      </c>
    </row>
    <row r="9" spans="1:61" x14ac:dyDescent="0.2">
      <c r="A9" s="1">
        <v>43644</v>
      </c>
      <c r="B9" s="2">
        <f>B4+8*7</f>
        <v>70</v>
      </c>
      <c r="C9">
        <f t="shared" si="1"/>
        <v>10</v>
      </c>
      <c r="D9" t="s">
        <v>35</v>
      </c>
      <c r="E9">
        <v>8300</v>
      </c>
      <c r="F9">
        <v>29.6</v>
      </c>
      <c r="G9" s="2">
        <f t="shared" si="2"/>
        <v>2456.8000000000002</v>
      </c>
      <c r="H9">
        <v>65.099999999999994</v>
      </c>
      <c r="I9" s="2">
        <f>E9*(H9/100)</f>
        <v>5403.2999999999993</v>
      </c>
      <c r="J9">
        <v>3.6</v>
      </c>
      <c r="K9" s="2">
        <f t="shared" si="4"/>
        <v>298.8</v>
      </c>
      <c r="L9">
        <v>0.8</v>
      </c>
      <c r="M9" s="2">
        <f t="shared" si="5"/>
        <v>66.400000000000006</v>
      </c>
      <c r="N9">
        <v>0.9</v>
      </c>
      <c r="O9" s="2">
        <f t="shared" si="6"/>
        <v>74.7</v>
      </c>
      <c r="P9">
        <v>358</v>
      </c>
      <c r="Q9" s="16">
        <f>(I9+K9)*(49.2/100)*(73.4/100)</f>
        <v>2059.1879688000004</v>
      </c>
      <c r="R9">
        <f>(I9+K9)*(46.6/100)</f>
        <v>2657.1785999999997</v>
      </c>
      <c r="S9" s="3">
        <f>R9*(0.021/100)</f>
        <v>0.55800750599999993</v>
      </c>
      <c r="T9" s="3">
        <f>(I9+K9)*(49.2/100)*(6/100)</f>
        <v>168.32599199999999</v>
      </c>
      <c r="U9" s="3">
        <v>86.5</v>
      </c>
      <c r="V9" s="3">
        <f>(I9+K9)*(49.2/100)*(1.14/100)</f>
        <v>31.981938479999997</v>
      </c>
      <c r="W9">
        <v>40.6</v>
      </c>
      <c r="X9">
        <f>(65.1/(65.1+10.4+15.4))*100</f>
        <v>71.617161716171609</v>
      </c>
      <c r="Y9">
        <f>(10.4/(65.1+10.4+15.4))*100</f>
        <v>11.44114411441144</v>
      </c>
      <c r="Z9">
        <f>(15.4/(65.1+10.4+15.4))*100</f>
        <v>16.941694169416941</v>
      </c>
      <c r="AA9">
        <f>0.38+0.06</f>
        <v>0.44</v>
      </c>
      <c r="AB9">
        <f>28.3+3.04</f>
        <v>31.34</v>
      </c>
      <c r="AC9">
        <f>11.8+62.8</f>
        <v>74.599999999999994</v>
      </c>
      <c r="AD9">
        <f>79.8+0.38</f>
        <v>80.179999999999993</v>
      </c>
      <c r="AE9">
        <f>28.3+66.5</f>
        <v>94.8</v>
      </c>
      <c r="AF9">
        <f>11.8+3.86</f>
        <v>15.66</v>
      </c>
      <c r="AG9">
        <f>(I9+K9)*(49.2/100)*(18.2/100)*(9.18/100)*(2.76/100)</f>
        <v>1.2936687382120318</v>
      </c>
      <c r="AI9" s="3">
        <f>I9*(51.5/100)*(73.6/100)</f>
        <v>2048.066832</v>
      </c>
      <c r="AJ9" s="3">
        <f>I9*(51.5/100)*(16.1/100)</f>
        <v>448.01461949999998</v>
      </c>
      <c r="AK9" s="3">
        <f t="shared" si="0"/>
        <v>4.5714285714285712</v>
      </c>
      <c r="AL9">
        <v>78.3</v>
      </c>
      <c r="AM9">
        <v>15.5</v>
      </c>
      <c r="AN9">
        <v>0.41</v>
      </c>
      <c r="AO9" s="3">
        <v>76.8</v>
      </c>
      <c r="AP9" s="3">
        <v>6.93</v>
      </c>
      <c r="AQ9" s="3">
        <v>5.66</v>
      </c>
      <c r="AR9" s="3">
        <v>0.12</v>
      </c>
      <c r="AS9" s="3">
        <v>4.1100000000000003</v>
      </c>
      <c r="AT9" s="3">
        <v>0.33</v>
      </c>
      <c r="AU9" s="3">
        <v>0.92</v>
      </c>
      <c r="AV9" s="3">
        <v>13.6</v>
      </c>
      <c r="AW9" s="3">
        <v>0.63</v>
      </c>
      <c r="AX9" s="5">
        <v>1.68</v>
      </c>
      <c r="AY9" s="5">
        <v>49.2</v>
      </c>
      <c r="AZ9" s="5">
        <v>1.1200000000000001</v>
      </c>
      <c r="BA9" s="3">
        <v>0.23</v>
      </c>
      <c r="BB9" s="3">
        <v>0.66</v>
      </c>
      <c r="BC9" s="3">
        <v>0.46</v>
      </c>
      <c r="BD9" s="3">
        <v>1.79</v>
      </c>
      <c r="BE9" s="3">
        <v>4.6900000000000004</v>
      </c>
      <c r="BF9" s="3">
        <v>1.48</v>
      </c>
      <c r="BG9" s="3">
        <v>20.6</v>
      </c>
      <c r="BH9" s="3">
        <v>1.19</v>
      </c>
      <c r="BI9" s="3">
        <v>2.12</v>
      </c>
    </row>
    <row r="10" spans="1:61" x14ac:dyDescent="0.2">
      <c r="A10" s="1">
        <v>43658</v>
      </c>
      <c r="B10" s="2">
        <f>B4+70</f>
        <v>84</v>
      </c>
      <c r="C10">
        <f t="shared" si="1"/>
        <v>12</v>
      </c>
      <c r="D10" t="s">
        <v>36</v>
      </c>
      <c r="E10">
        <v>7300</v>
      </c>
      <c r="F10">
        <v>28.3</v>
      </c>
      <c r="G10" s="2">
        <f t="shared" si="2"/>
        <v>2065.9</v>
      </c>
      <c r="H10">
        <v>67</v>
      </c>
      <c r="I10" s="2">
        <f t="shared" si="3"/>
        <v>4891</v>
      </c>
      <c r="J10">
        <v>3.4</v>
      </c>
      <c r="K10" s="2">
        <f t="shared" si="4"/>
        <v>248.20000000000002</v>
      </c>
      <c r="L10">
        <v>0.7</v>
      </c>
      <c r="M10" s="2">
        <f t="shared" si="5"/>
        <v>51.099999999999994</v>
      </c>
      <c r="N10">
        <v>0.6</v>
      </c>
      <c r="O10" s="2">
        <f t="shared" si="6"/>
        <v>43.800000000000004</v>
      </c>
      <c r="P10">
        <v>307</v>
      </c>
      <c r="Q10" s="16">
        <f>(I10+K10)*(53.7/100)*(73.2/100)</f>
        <v>2020.1372927999998</v>
      </c>
      <c r="R10">
        <f>(I10+K10)*(42.5/100)</f>
        <v>2184.16</v>
      </c>
      <c r="S10" s="3">
        <f>R10*(0.00783/100)</f>
        <v>0.17101972800000001</v>
      </c>
      <c r="T10" s="3">
        <f>(I10+K10)*(53.7/100)*(7.63/100)</f>
        <v>210.56895551999997</v>
      </c>
      <c r="U10" s="3">
        <v>81.5</v>
      </c>
      <c r="V10" s="3">
        <f>(I10+K10)*(53.7/100)*(0.62/100)</f>
        <v>17.110452479999999</v>
      </c>
      <c r="W10">
        <v>33</v>
      </c>
      <c r="X10">
        <f>(64.5/(64.5+5.68+21))*100</f>
        <v>70.739197192366746</v>
      </c>
      <c r="Y10">
        <f>(5.68/(64.5+5.68+21))*100</f>
        <v>6.2294362798859391</v>
      </c>
      <c r="Z10">
        <f>(21/(64.5+5.68+21))*100</f>
        <v>23.031366527747309</v>
      </c>
      <c r="AA10">
        <f>0.04+0.00796</f>
        <v>4.7960000000000003E-2</v>
      </c>
      <c r="AB10">
        <f>12.4+7.5</f>
        <v>19.899999999999999</v>
      </c>
      <c r="AC10">
        <f>0.74+35.9</f>
        <v>36.64</v>
      </c>
      <c r="AD10">
        <f>43+0.04</f>
        <v>43.04</v>
      </c>
      <c r="AE10">
        <f>65.3+12.4</f>
        <v>77.7</v>
      </c>
      <c r="AF10">
        <f>0.56+0.74</f>
        <v>1.3</v>
      </c>
      <c r="AG10">
        <f>(I10+K10)*(53.7/100)*(17.3/100)*(8.88/100)*(1.68/100)</f>
        <v>0.71225934435532801</v>
      </c>
      <c r="AI10" s="3">
        <f>I10*(48.6/100)*(74.6/100)</f>
        <v>1773.2613959999999</v>
      </c>
      <c r="AJ10" s="3">
        <f>I10*(48.6/100)*(16.8/100)</f>
        <v>399.34036800000001</v>
      </c>
      <c r="AK10" s="3">
        <f t="shared" ref="AK10" si="7">AI10/AJ10</f>
        <v>4.4404761904761898</v>
      </c>
      <c r="AL10">
        <v>75.400000000000006</v>
      </c>
      <c r="AM10">
        <v>14.7</v>
      </c>
      <c r="AN10">
        <v>1.57</v>
      </c>
      <c r="AO10" s="3">
        <v>75.400000000000006</v>
      </c>
      <c r="AP10" s="3">
        <v>6.67</v>
      </c>
      <c r="AQ10" s="3">
        <v>6.13</v>
      </c>
      <c r="AR10" s="3">
        <v>6.9000000000000006E-2</v>
      </c>
      <c r="AS10" s="3">
        <v>0.56999999999999995</v>
      </c>
      <c r="AT10" s="3">
        <v>0.13</v>
      </c>
      <c r="AU10" s="3">
        <v>0.59</v>
      </c>
      <c r="AV10" s="3">
        <v>1.8</v>
      </c>
      <c r="AW10" s="3">
        <v>0.84</v>
      </c>
      <c r="AX10" s="5">
        <v>0.26</v>
      </c>
      <c r="AY10" s="5">
        <v>4.07</v>
      </c>
      <c r="AZ10" s="5">
        <v>1.21</v>
      </c>
      <c r="BA10" s="3">
        <v>0.1</v>
      </c>
      <c r="BB10" s="3">
        <v>6.4000000000000001E-2</v>
      </c>
      <c r="BC10" s="3">
        <v>0.52</v>
      </c>
      <c r="BD10" s="3">
        <v>0.99</v>
      </c>
      <c r="BE10" s="3">
        <v>0.27</v>
      </c>
      <c r="BF10" s="3">
        <v>4.25</v>
      </c>
      <c r="BG10" s="3">
        <v>6.59</v>
      </c>
      <c r="BH10" s="3">
        <v>9.8000000000000004E-2</v>
      </c>
      <c r="BI10" s="3">
        <v>3.35</v>
      </c>
    </row>
    <row r="11" spans="1:61" x14ac:dyDescent="0.2">
      <c r="A11" s="1">
        <v>43672</v>
      </c>
      <c r="B11" s="2">
        <f>B4+7*12</f>
        <v>98</v>
      </c>
      <c r="C11">
        <f t="shared" si="1"/>
        <v>14</v>
      </c>
      <c r="D11" t="s">
        <v>37</v>
      </c>
      <c r="E11">
        <v>8000</v>
      </c>
      <c r="F11">
        <v>28</v>
      </c>
      <c r="G11" s="2">
        <f t="shared" si="2"/>
        <v>2240</v>
      </c>
      <c r="H11">
        <v>66.8</v>
      </c>
      <c r="I11" s="2">
        <f t="shared" si="3"/>
        <v>5343.9999999999991</v>
      </c>
      <c r="J11">
        <v>3.5</v>
      </c>
      <c r="K11" s="2">
        <f t="shared" si="4"/>
        <v>280</v>
      </c>
      <c r="L11">
        <v>0.8</v>
      </c>
      <c r="M11" s="2">
        <f t="shared" si="5"/>
        <v>64</v>
      </c>
      <c r="N11">
        <v>0.9</v>
      </c>
      <c r="O11" s="2">
        <f t="shared" si="6"/>
        <v>72.000000000000014</v>
      </c>
      <c r="P11">
        <v>351</v>
      </c>
      <c r="Q11" s="16">
        <f>(I11+K11)*(52.1/100)*(72.7/100)</f>
        <v>2130.1856079999998</v>
      </c>
      <c r="R11">
        <f>(I11+K11)*(45.7/100)</f>
        <v>2570.1679999999997</v>
      </c>
      <c r="S11" s="3">
        <f>R11*(0.018/100)</f>
        <v>0.46263023999999991</v>
      </c>
      <c r="T11" s="3">
        <f>(I11+K11)*(52.1/100)*(8/100)</f>
        <v>234.40832</v>
      </c>
      <c r="U11" s="3">
        <v>85.7</v>
      </c>
      <c r="V11" s="3">
        <f>(I11+K11)*(52.1/100)*(0.87/100)</f>
        <v>25.491904799999997</v>
      </c>
      <c r="W11">
        <v>43.5</v>
      </c>
      <c r="X11">
        <f>(61.9/(61.9+7.14+17.2))*100</f>
        <v>71.776437847866418</v>
      </c>
      <c r="Y11">
        <f>(7.14/(61.9+7.14+17.2))*100</f>
        <v>8.279220779220779</v>
      </c>
      <c r="Z11">
        <f>(17.2/(61.9+7.14+17.2))*100</f>
        <v>19.944341372912803</v>
      </c>
      <c r="AA11">
        <f>0.019+0</f>
        <v>1.9E-2</v>
      </c>
      <c r="AB11">
        <f>8.37+9.41</f>
        <v>17.78</v>
      </c>
      <c r="AC11">
        <f>2.07+56.2</f>
        <v>58.27</v>
      </c>
      <c r="AD11">
        <f>25.7+0.019</f>
        <v>25.718999999999998</v>
      </c>
      <c r="AE11">
        <f>64.3+8.37</f>
        <v>72.67</v>
      </c>
      <c r="AF11">
        <f>1.57+2.07</f>
        <v>3.6399999999999997</v>
      </c>
      <c r="AG11">
        <f>(I11+K11)*(52.1/100)*(16.2/100)*(13.8/100)*(0.92/100)</f>
        <v>0.60264972622080015</v>
      </c>
      <c r="AI11" s="3">
        <f>I11*(51/100)*(75.3/100)</f>
        <v>2052.2563199999995</v>
      </c>
      <c r="AJ11" s="3">
        <f>I11*(51/100)*(16.5/100)</f>
        <v>449.69759999999997</v>
      </c>
      <c r="AK11" s="3">
        <f t="shared" ref="AK11" si="8">AI11/AJ11</f>
        <v>4.5636363636363626</v>
      </c>
      <c r="AL11">
        <v>77.400000000000006</v>
      </c>
      <c r="AM11">
        <v>15.9</v>
      </c>
      <c r="AN11">
        <v>0.88</v>
      </c>
      <c r="AO11" s="3">
        <v>79.599999999999994</v>
      </c>
      <c r="AP11" s="3">
        <v>7.23</v>
      </c>
      <c r="AQ11" s="3">
        <v>4.5599999999999996</v>
      </c>
      <c r="AR11" s="3">
        <v>8.5000000000000006E-2</v>
      </c>
      <c r="AS11" s="3">
        <v>0.89</v>
      </c>
      <c r="AT11" s="3">
        <v>0.13</v>
      </c>
      <c r="AU11" s="3">
        <v>0.56000000000000005</v>
      </c>
      <c r="AV11" s="3">
        <v>3.26</v>
      </c>
      <c r="AW11" s="3">
        <v>1.38</v>
      </c>
      <c r="AX11" s="5">
        <v>1.1000000000000001</v>
      </c>
      <c r="AY11" s="5">
        <v>8.1999999999999993</v>
      </c>
      <c r="AZ11" s="5">
        <v>2.84</v>
      </c>
      <c r="BA11" s="3">
        <v>0.13</v>
      </c>
      <c r="BB11" s="3">
        <v>8.7999999999999995E-2</v>
      </c>
      <c r="BC11" s="3">
        <v>0.28999999999999998</v>
      </c>
      <c r="BD11" s="3">
        <v>1.76</v>
      </c>
      <c r="BE11" s="3">
        <v>0.44</v>
      </c>
      <c r="BF11" s="3">
        <v>2.37</v>
      </c>
      <c r="BG11" s="3">
        <v>12</v>
      </c>
      <c r="BH11" s="3">
        <v>0.42</v>
      </c>
      <c r="BI11" s="3">
        <v>3.76</v>
      </c>
    </row>
    <row r="12" spans="1:61" x14ac:dyDescent="0.2">
      <c r="A12" s="1">
        <v>43686</v>
      </c>
      <c r="B12" s="2">
        <f>B4+7*14</f>
        <v>112</v>
      </c>
      <c r="C12">
        <f t="shared" si="1"/>
        <v>16</v>
      </c>
      <c r="D12" t="s">
        <v>80</v>
      </c>
      <c r="E12">
        <v>13300</v>
      </c>
      <c r="F12">
        <v>47.2</v>
      </c>
      <c r="G12" s="2">
        <f t="shared" si="2"/>
        <v>6277.6</v>
      </c>
      <c r="H12">
        <v>46.2</v>
      </c>
      <c r="I12" s="2">
        <f t="shared" si="3"/>
        <v>6144.6</v>
      </c>
      <c r="J12">
        <v>4.5999999999999996</v>
      </c>
      <c r="K12" s="2">
        <f t="shared" si="4"/>
        <v>611.79999999999995</v>
      </c>
      <c r="L12">
        <v>1.1000000000000001</v>
      </c>
      <c r="M12" s="2">
        <f t="shared" si="5"/>
        <v>146.30000000000001</v>
      </c>
      <c r="N12">
        <v>0.9</v>
      </c>
      <c r="O12" s="2">
        <f t="shared" si="6"/>
        <v>119.70000000000002</v>
      </c>
      <c r="P12">
        <v>358</v>
      </c>
      <c r="Q12" s="16">
        <f>(I12+K12)*(54.3/100)*(64/100)</f>
        <v>2347.9841280000001</v>
      </c>
      <c r="R12">
        <f>(I12+K12)*(43.6/100)</f>
        <v>2945.7904000000003</v>
      </c>
      <c r="S12" s="3">
        <f>R12*(0.014/100)</f>
        <v>0.4124106560000001</v>
      </c>
      <c r="T12" s="3">
        <f>(I12+K12)*(54.3/100)*(10.3/100)</f>
        <v>377.87869560000001</v>
      </c>
      <c r="U12" s="3">
        <v>89.5</v>
      </c>
      <c r="V12" s="3">
        <f>(I12+K12)*(54.3/100)*(0.83/100)</f>
        <v>30.450419159999999</v>
      </c>
      <c r="W12">
        <v>44.6</v>
      </c>
      <c r="X12">
        <f>(64/(64+9.16+16.6))*100</f>
        <v>71.301247771836017</v>
      </c>
      <c r="Y12">
        <f>(9.16/(64+9.16+16.6))*100</f>
        <v>10.20499108734403</v>
      </c>
      <c r="Z12">
        <f>(16.6/(64+9.16+16.6))*100</f>
        <v>18.493761140819966</v>
      </c>
      <c r="AA12">
        <f>0.024</f>
        <v>2.4E-2</v>
      </c>
      <c r="AB12">
        <f>13.1+10.5</f>
        <v>23.6</v>
      </c>
      <c r="AC12">
        <f>1.08+67.8</f>
        <v>68.88</v>
      </c>
      <c r="AD12">
        <f>15.1+0.024</f>
        <v>15.123999999999999</v>
      </c>
      <c r="AE12">
        <f>62.7+13.1</f>
        <v>75.8</v>
      </c>
      <c r="AF12">
        <f>0.45+1.08</f>
        <v>1.53</v>
      </c>
      <c r="AG12">
        <f>(I12+K12)*(54.3/100)*(23/100)*(10.3/100)*(0.49/100)</f>
        <v>0.42586928994120005</v>
      </c>
      <c r="AI12" s="3">
        <f>I12*(46.2/100)*(74.6/100)</f>
        <v>2117.7486792</v>
      </c>
      <c r="AJ12" s="3">
        <f>I12*(46.2/100)*(17.3/100)</f>
        <v>491.11329960000006</v>
      </c>
      <c r="AK12" s="3">
        <f t="shared" ref="AK12:AK14" si="9">AI12/AJ12</f>
        <v>4.3121387283236992</v>
      </c>
      <c r="AL12">
        <v>72.3</v>
      </c>
      <c r="AM12">
        <v>16.399999999999999</v>
      </c>
      <c r="AN12">
        <v>2.39</v>
      </c>
      <c r="AO12" s="3">
        <v>78.2</v>
      </c>
      <c r="AP12" s="3">
        <v>7.94</v>
      </c>
      <c r="AQ12" s="3">
        <v>4.42</v>
      </c>
      <c r="AR12" s="3">
        <v>0.42</v>
      </c>
      <c r="AS12" s="3">
        <v>0.53</v>
      </c>
      <c r="AT12" s="3">
        <v>0.56000000000000005</v>
      </c>
      <c r="AU12" s="3">
        <v>3.23</v>
      </c>
      <c r="AV12" s="3">
        <v>2.5499999999999998</v>
      </c>
      <c r="AW12" s="3">
        <v>3.5</v>
      </c>
      <c r="AX12" s="5">
        <v>3.43</v>
      </c>
      <c r="AY12" s="5">
        <v>4.2</v>
      </c>
      <c r="AZ12" s="5">
        <v>2.8</v>
      </c>
      <c r="BA12" s="3">
        <v>0.62</v>
      </c>
      <c r="BB12" s="3">
        <v>2.8000000000000001E-2</v>
      </c>
      <c r="BC12" s="3">
        <v>0.91</v>
      </c>
      <c r="BD12" s="3">
        <v>5.28</v>
      </c>
      <c r="BE12" s="3">
        <v>0.27</v>
      </c>
      <c r="BF12" s="3">
        <v>8.65</v>
      </c>
      <c r="BG12" s="3">
        <v>9.98</v>
      </c>
      <c r="BH12" s="3">
        <v>0.49</v>
      </c>
      <c r="BI12" s="3">
        <v>12.6</v>
      </c>
    </row>
    <row r="13" spans="1:61" x14ac:dyDescent="0.2">
      <c r="A13" s="1">
        <v>43690</v>
      </c>
      <c r="B13" s="2">
        <f>B12+4</f>
        <v>116</v>
      </c>
      <c r="C13">
        <f t="shared" si="1"/>
        <v>16.571428571428573</v>
      </c>
      <c r="D13" t="s">
        <v>29</v>
      </c>
      <c r="E13">
        <v>10200</v>
      </c>
      <c r="F13">
        <v>30.3</v>
      </c>
      <c r="G13" s="2">
        <f t="shared" si="2"/>
        <v>3090.6</v>
      </c>
      <c r="H13">
        <v>63.2</v>
      </c>
      <c r="I13" s="2">
        <f t="shared" si="3"/>
        <v>6446.4</v>
      </c>
      <c r="J13">
        <v>4.8</v>
      </c>
      <c r="K13" s="2">
        <f t="shared" si="4"/>
        <v>489.6</v>
      </c>
      <c r="L13">
        <v>0.8</v>
      </c>
      <c r="M13" s="2">
        <f t="shared" si="5"/>
        <v>81.600000000000009</v>
      </c>
      <c r="N13">
        <v>0.9</v>
      </c>
      <c r="O13" s="2">
        <f t="shared" si="6"/>
        <v>91.800000000000011</v>
      </c>
      <c r="P13">
        <v>379</v>
      </c>
      <c r="Q13" s="16">
        <f>(I13+K13)*(52.8/100)*(64.9/100)</f>
        <v>2376.7729920000002</v>
      </c>
      <c r="R13">
        <f>(I13+K13)*(44.1/100)</f>
        <v>3058.7759999999998</v>
      </c>
      <c r="S13" s="3">
        <f>R13*(0.025/100)</f>
        <v>0.76469399999999998</v>
      </c>
      <c r="T13" s="3">
        <f>(I13+K13)*(52.8/100)*(12.3/100)</f>
        <v>450.45158400000008</v>
      </c>
      <c r="U13" s="3">
        <v>86.7</v>
      </c>
      <c r="V13" s="3">
        <f>(I13+K13)*(52.8/100)*(0.9/100)</f>
        <v>32.959872000000004</v>
      </c>
      <c r="W13">
        <v>41.5</v>
      </c>
      <c r="X13">
        <f>(63.4/(63.4+7.43+17))*100</f>
        <v>72.184902652852102</v>
      </c>
      <c r="Y13">
        <f>(7.43/(63.4+7.43+17))*100</f>
        <v>8.4595240806102705</v>
      </c>
      <c r="Z13">
        <f>(17/(63.4+7.43+17))*100</f>
        <v>19.355573266537629</v>
      </c>
      <c r="AA13">
        <f>0.019+0.015</f>
        <v>3.4000000000000002E-2</v>
      </c>
      <c r="AB13">
        <f>7.17+10.5</f>
        <v>17.670000000000002</v>
      </c>
      <c r="AC13">
        <f>0.31+61</f>
        <v>61.31</v>
      </c>
      <c r="AD13">
        <f>25.8+0.019</f>
        <v>25.818999999999999</v>
      </c>
      <c r="AE13">
        <f>7.17+61.2</f>
        <v>68.37</v>
      </c>
      <c r="AF13">
        <f>0.39+0.31</f>
        <v>0.7</v>
      </c>
      <c r="AG13">
        <f>(I13+K13)*(52.8/100)*(20.6/100)*(12.2/100)*(0.6/100)</f>
        <v>0.55223166873600005</v>
      </c>
      <c r="AI13" s="3">
        <f>I13*(51.4/100)*(72.2/100)</f>
        <v>2392.3106112</v>
      </c>
      <c r="AJ13" s="3">
        <f>I13*(51.4/100)*(19.4/100)</f>
        <v>642.80922239999995</v>
      </c>
      <c r="AK13" s="3">
        <f t="shared" si="9"/>
        <v>3.721649484536083</v>
      </c>
      <c r="AL13">
        <v>77.2</v>
      </c>
      <c r="AM13">
        <v>15.7</v>
      </c>
      <c r="AN13">
        <v>1.1000000000000001</v>
      </c>
      <c r="AO13" s="3">
        <v>76.2</v>
      </c>
      <c r="AP13" s="3">
        <v>8.86</v>
      </c>
      <c r="AQ13" s="3">
        <v>6.02</v>
      </c>
      <c r="AR13" s="3">
        <v>0.21</v>
      </c>
      <c r="AS13" s="3">
        <v>1.1299999999999999</v>
      </c>
      <c r="AT13" s="3">
        <v>0.23</v>
      </c>
      <c r="AU13" s="3">
        <v>0.94</v>
      </c>
      <c r="AV13" s="3">
        <v>5.34</v>
      </c>
      <c r="AW13" s="3">
        <v>2.29</v>
      </c>
      <c r="AX13" s="5">
        <v>1.39</v>
      </c>
      <c r="AY13" s="5">
        <v>10.5</v>
      </c>
      <c r="AZ13" s="5">
        <v>4.3</v>
      </c>
      <c r="BA13" s="3">
        <v>0.26</v>
      </c>
      <c r="BB13" s="3">
        <v>0.12</v>
      </c>
      <c r="BC13" s="3">
        <v>1.18</v>
      </c>
      <c r="BD13" s="3">
        <v>1.49</v>
      </c>
      <c r="BE13" s="3">
        <v>0.46</v>
      </c>
      <c r="BF13" s="3">
        <v>9.6199999999999992</v>
      </c>
      <c r="BG13" s="3">
        <v>8.56</v>
      </c>
      <c r="BH13" s="3">
        <v>0.72</v>
      </c>
      <c r="BI13" s="3">
        <v>7.57</v>
      </c>
    </row>
    <row r="14" spans="1:61" x14ac:dyDescent="0.2">
      <c r="A14" s="1">
        <v>43696</v>
      </c>
      <c r="B14" s="2">
        <f>B12+10</f>
        <v>122</v>
      </c>
      <c r="C14">
        <f t="shared" si="1"/>
        <v>17.428571428571427</v>
      </c>
      <c r="D14" t="s">
        <v>30</v>
      </c>
      <c r="E14">
        <v>4700</v>
      </c>
      <c r="F14">
        <v>51.4</v>
      </c>
      <c r="G14" s="2">
        <f t="shared" si="2"/>
        <v>2415.8000000000002</v>
      </c>
      <c r="H14">
        <v>39</v>
      </c>
      <c r="I14" s="2">
        <f t="shared" si="3"/>
        <v>1833</v>
      </c>
      <c r="J14">
        <v>8.1999999999999993</v>
      </c>
      <c r="K14" s="2">
        <f t="shared" si="4"/>
        <v>385.4</v>
      </c>
      <c r="L14">
        <v>0.9</v>
      </c>
      <c r="M14" s="2">
        <f t="shared" si="5"/>
        <v>42.300000000000004</v>
      </c>
      <c r="N14">
        <v>0.5</v>
      </c>
      <c r="O14" s="2">
        <f t="shared" si="6"/>
        <v>23.5</v>
      </c>
      <c r="P14">
        <v>302</v>
      </c>
      <c r="Q14" s="16">
        <f>(I14+K14)*(41.8/100)*(43.7/100)</f>
        <v>405.22625440000007</v>
      </c>
      <c r="R14">
        <f>(I14+K14)*(56.8/100)</f>
        <v>1260.0511999999999</v>
      </c>
      <c r="S14" s="3">
        <f>R14*(0.023/100)</f>
        <v>0.28981177599999997</v>
      </c>
      <c r="T14" s="3">
        <f>(I14+K14)*(41.8/100)*(13.9/100)</f>
        <v>128.8934768</v>
      </c>
      <c r="U14" s="3">
        <v>91.2</v>
      </c>
      <c r="V14" s="3">
        <f>(I14+K14)*(41.8/100)*(2.42/100)</f>
        <v>22.440447039999999</v>
      </c>
      <c r="W14">
        <v>74.7</v>
      </c>
      <c r="X14">
        <f>(41.6/(41.6+17.4+25.3))*100</f>
        <v>49.347568208778178</v>
      </c>
      <c r="Y14">
        <f>(17.4/(41.6+17.4+25.3))*100</f>
        <v>20.640569395017792</v>
      </c>
      <c r="Z14">
        <f>(25.3/(41.6+17.4+25.3))*100</f>
        <v>30.011862396204037</v>
      </c>
      <c r="AA14">
        <f>0.26+0</f>
        <v>0.26</v>
      </c>
      <c r="AB14">
        <f>38.9+0.83</f>
        <v>39.729999999999997</v>
      </c>
      <c r="AC14">
        <f>36.9+57.8</f>
        <v>94.699999999999989</v>
      </c>
      <c r="AD14">
        <f>56.1+0.26</f>
        <v>56.36</v>
      </c>
      <c r="AE14">
        <f>58.7+38.9</f>
        <v>97.6</v>
      </c>
      <c r="AF14">
        <f>3.49+36.9</f>
        <v>40.39</v>
      </c>
      <c r="AG14">
        <f>(I14+K14)*(41.8/100)*(37.3/100)*(15.7/100)*(5.57/100)</f>
        <v>3.0246826679502403</v>
      </c>
      <c r="AI14" s="3">
        <f>I14*(53.3/100)*(76.2/100)</f>
        <v>744.46561799999984</v>
      </c>
      <c r="AJ14" s="3">
        <f>I14*(53.3/100)*(13.2/100)</f>
        <v>128.96254799999997</v>
      </c>
      <c r="AK14" s="3">
        <f t="shared" si="9"/>
        <v>5.7727272727272725</v>
      </c>
      <c r="AL14">
        <v>63.8</v>
      </c>
      <c r="AM14">
        <v>20.9</v>
      </c>
      <c r="AN14">
        <v>4.37</v>
      </c>
      <c r="AO14" s="3">
        <v>51.1</v>
      </c>
      <c r="AP14" s="3">
        <v>18.2</v>
      </c>
      <c r="AQ14" s="3">
        <v>13.6</v>
      </c>
      <c r="AR14" s="3">
        <v>0.74</v>
      </c>
      <c r="AS14" s="3">
        <v>1.17</v>
      </c>
      <c r="AT14" s="3">
        <v>0.19</v>
      </c>
      <c r="AU14" s="3">
        <v>2.81</v>
      </c>
      <c r="AV14" s="3">
        <v>1.44</v>
      </c>
      <c r="AW14" s="3">
        <v>0.59</v>
      </c>
      <c r="AX14" s="5">
        <v>4.74</v>
      </c>
      <c r="AY14" s="5">
        <v>12.9</v>
      </c>
      <c r="AZ14" s="5">
        <v>1.02</v>
      </c>
      <c r="BA14" s="3">
        <v>4.8</v>
      </c>
      <c r="BB14" s="3">
        <v>0.61</v>
      </c>
      <c r="BC14" s="3">
        <v>2.79</v>
      </c>
      <c r="BD14" s="3">
        <v>9.84</v>
      </c>
      <c r="BE14" s="3">
        <v>0.78</v>
      </c>
      <c r="BF14" s="3">
        <v>6.09</v>
      </c>
      <c r="BG14" s="3">
        <v>38</v>
      </c>
      <c r="BH14" s="3">
        <v>1.04</v>
      </c>
      <c r="BI14" s="3">
        <v>6.68</v>
      </c>
    </row>
    <row r="15" spans="1:61" x14ac:dyDescent="0.2">
      <c r="A15" s="1">
        <v>43714</v>
      </c>
      <c r="B15" s="2">
        <f>B12+7*4</f>
        <v>140</v>
      </c>
      <c r="C15">
        <f t="shared" si="1"/>
        <v>20</v>
      </c>
      <c r="D15" t="s">
        <v>31</v>
      </c>
      <c r="E15">
        <v>8800</v>
      </c>
      <c r="F15">
        <v>28.5</v>
      </c>
      <c r="G15" s="2">
        <f t="shared" si="2"/>
        <v>2508</v>
      </c>
      <c r="H15">
        <v>58.7</v>
      </c>
      <c r="I15" s="2">
        <f t="shared" si="3"/>
        <v>5165.6000000000004</v>
      </c>
      <c r="J15">
        <v>8.6</v>
      </c>
      <c r="K15" s="2">
        <f t="shared" si="4"/>
        <v>756.8</v>
      </c>
      <c r="L15">
        <v>3.2</v>
      </c>
      <c r="M15" s="2">
        <f t="shared" si="5"/>
        <v>281.60000000000002</v>
      </c>
      <c r="N15">
        <v>1</v>
      </c>
      <c r="O15" s="2">
        <f t="shared" si="6"/>
        <v>88</v>
      </c>
      <c r="P15">
        <v>378</v>
      </c>
      <c r="Q15" s="16">
        <f>(I15+K15)*(56.1/100)*(38.7/100)</f>
        <v>1285.7944968000004</v>
      </c>
      <c r="R15">
        <f>(I15+K15)*(39.6/100)</f>
        <v>2345.2704000000003</v>
      </c>
      <c r="S15" s="3">
        <f>R15*(0.023/100)</f>
        <v>0.53941219200000012</v>
      </c>
      <c r="T15" s="3">
        <f>(I15+K15)*(56.1/100)*(20.9/100)</f>
        <v>694.39547760000016</v>
      </c>
      <c r="U15" s="3">
        <v>84.1</v>
      </c>
      <c r="V15" s="3">
        <f>(I15+K15)*(56.1/100)*(2.11/100)</f>
        <v>70.104041040000013</v>
      </c>
      <c r="W15">
        <v>58.2</v>
      </c>
      <c r="X15">
        <f>(70.1/(70.1+14.5+7.41))*100</f>
        <v>76.187370937941537</v>
      </c>
      <c r="Y15">
        <f>(14.5/(70.1+14.5+7.41))*100</f>
        <v>15.759156613411587</v>
      </c>
      <c r="Z15">
        <f>(7.41/(70.1+14.5+7.41))*100</f>
        <v>8.0534724486468861</v>
      </c>
      <c r="AA15">
        <f>0.18+0.16</f>
        <v>0.33999999999999997</v>
      </c>
      <c r="AB15">
        <f>21+8.74</f>
        <v>29.740000000000002</v>
      </c>
      <c r="AC15">
        <f>3.29+65.8</f>
        <v>69.09</v>
      </c>
      <c r="AD15">
        <f>28.7+0.18</f>
        <v>28.88</v>
      </c>
      <c r="AE15">
        <f>63.7+21</f>
        <v>84.7</v>
      </c>
      <c r="AF15">
        <f>0.62+3.29</f>
        <v>3.91</v>
      </c>
      <c r="AG15">
        <f>(I15+K15)*(56.1/100)*(35.5/100)*(8.07/100)*(1.37/100)</f>
        <v>1.3040163976474806</v>
      </c>
      <c r="AI15" s="3">
        <f>I15*(46.4/100)*(63.5/100)</f>
        <v>1521.9923840000001</v>
      </c>
      <c r="AJ15" s="3">
        <f>I15*(46.4/100)*(26.1/100)</f>
        <v>625.57482240000002</v>
      </c>
      <c r="AK15" s="3">
        <f t="shared" ref="AK15" si="10">AI15/AJ15</f>
        <v>2.4329501915708813</v>
      </c>
      <c r="AL15">
        <v>82.7</v>
      </c>
      <c r="AM15">
        <v>7.75</v>
      </c>
      <c r="AN15">
        <v>1.64</v>
      </c>
      <c r="AO15" s="3">
        <v>67</v>
      </c>
      <c r="AP15" s="3">
        <v>10.5</v>
      </c>
      <c r="AQ15" s="3">
        <v>7.41</v>
      </c>
      <c r="AR15" s="3">
        <v>0.2</v>
      </c>
      <c r="AS15" s="3">
        <v>1.54</v>
      </c>
      <c r="AT15" s="3">
        <v>1.04</v>
      </c>
      <c r="AU15" s="3">
        <v>0.46</v>
      </c>
      <c r="AV15" s="3">
        <v>4.0199999999999996</v>
      </c>
      <c r="AW15" s="3">
        <v>2.86</v>
      </c>
      <c r="AX15" s="5">
        <v>1.29</v>
      </c>
      <c r="AY15" s="5">
        <v>12.2</v>
      </c>
      <c r="AZ15" s="5">
        <v>1.4</v>
      </c>
      <c r="BA15" s="3">
        <v>2.5099999999999998</v>
      </c>
      <c r="BB15" s="3">
        <v>0.28000000000000003</v>
      </c>
      <c r="BC15" s="3">
        <v>1.88</v>
      </c>
      <c r="BD15" s="3">
        <v>3.82</v>
      </c>
      <c r="BE15" s="3">
        <v>1.81</v>
      </c>
      <c r="BF15" s="3">
        <v>7.24</v>
      </c>
      <c r="BG15" s="3">
        <v>24.9</v>
      </c>
      <c r="BH15" s="3">
        <v>0.35</v>
      </c>
      <c r="BI15" s="3">
        <v>4.3</v>
      </c>
    </row>
    <row r="16" spans="1:61" x14ac:dyDescent="0.2">
      <c r="A16" s="1">
        <v>43728</v>
      </c>
      <c r="B16" s="2">
        <f>B12+7*6</f>
        <v>154</v>
      </c>
      <c r="C16">
        <f t="shared" si="1"/>
        <v>22</v>
      </c>
      <c r="D16" t="s">
        <v>81</v>
      </c>
      <c r="E16">
        <v>7600</v>
      </c>
      <c r="F16">
        <v>25.7</v>
      </c>
      <c r="G16" s="2">
        <f t="shared" si="2"/>
        <v>1953.2</v>
      </c>
      <c r="H16">
        <v>65.7</v>
      </c>
      <c r="I16" s="2">
        <f t="shared" si="3"/>
        <v>4993.2</v>
      </c>
      <c r="J16">
        <v>5.0999999999999996</v>
      </c>
      <c r="K16" s="2">
        <f t="shared" si="4"/>
        <v>387.59999999999997</v>
      </c>
      <c r="L16">
        <v>2.7</v>
      </c>
      <c r="M16" s="2">
        <f t="shared" si="5"/>
        <v>205.20000000000002</v>
      </c>
      <c r="N16">
        <v>0.8</v>
      </c>
      <c r="O16" s="2">
        <f t="shared" si="6"/>
        <v>60.800000000000004</v>
      </c>
      <c r="P16">
        <v>325</v>
      </c>
      <c r="Q16" s="16">
        <f>(I16+K16)*(47.3/100)*(45.3/100)</f>
        <v>1152.9386351999999</v>
      </c>
      <c r="R16">
        <f>(I16+K16)*(43.4/100)</f>
        <v>2335.2672000000002</v>
      </c>
      <c r="S16" s="3">
        <f>R16*(0.011/100)</f>
        <v>0.25687939199999998</v>
      </c>
      <c r="T16" s="3">
        <f>(I16+K16)*(47.3/100)*(19.8/100)</f>
        <v>503.9334432</v>
      </c>
      <c r="U16" s="3">
        <v>85.4</v>
      </c>
      <c r="V16" s="3">
        <f>(I16+K16)*(47.3/100)*(1.93/100)</f>
        <v>49.120785119999994</v>
      </c>
      <c r="W16">
        <v>58.6</v>
      </c>
      <c r="X16">
        <f>(67.1/(67.1+14.1+11))*100</f>
        <v>72.776572668112806</v>
      </c>
      <c r="Y16">
        <f>(14.1/(67.1+14.1+11))*100</f>
        <v>15.292841648590022</v>
      </c>
      <c r="Z16">
        <f>(11/(67.1+14.1+11))*100</f>
        <v>11.930585683297181</v>
      </c>
      <c r="AA16">
        <f>0.017+0.012</f>
        <v>2.9000000000000001E-2</v>
      </c>
      <c r="AB16">
        <f>6.83+4.29</f>
        <v>11.120000000000001</v>
      </c>
      <c r="AC16">
        <f>3.72+29.7</f>
        <v>33.42</v>
      </c>
      <c r="AD16">
        <f>35.7+0.017</f>
        <v>35.717000000000006</v>
      </c>
      <c r="AE16">
        <f>76.9+6.83</f>
        <v>83.73</v>
      </c>
      <c r="AF16">
        <f>3.72+6.47</f>
        <v>10.19</v>
      </c>
      <c r="AG16">
        <f>(I16+K16)*(47.3/100)*(31.4/100)*(7.75/100)*(1.18/100)</f>
        <v>0.73083838391519995</v>
      </c>
      <c r="AI16" s="3">
        <f>I16*(47.3/100)*(60.8/100)</f>
        <v>1435.9644287999997</v>
      </c>
      <c r="AJ16" s="3">
        <f>I16*(47.3/100)*(28.1/100)</f>
        <v>663.66119159999994</v>
      </c>
      <c r="AK16" s="3">
        <f t="shared" ref="AK16" si="11">AI16/AJ16</f>
        <v>2.1637010676156581</v>
      </c>
      <c r="AL16">
        <v>85.1</v>
      </c>
      <c r="AM16">
        <v>7.07</v>
      </c>
      <c r="AN16">
        <v>0.59</v>
      </c>
      <c r="AO16" s="3">
        <v>67.3</v>
      </c>
      <c r="AP16" s="3">
        <v>8.34</v>
      </c>
      <c r="AQ16" s="3">
        <v>7.92</v>
      </c>
      <c r="AR16" s="3">
        <v>0.24</v>
      </c>
      <c r="AS16" s="3">
        <v>0.67</v>
      </c>
      <c r="AT16" s="3">
        <v>0.13</v>
      </c>
      <c r="AU16" s="3">
        <v>0.17</v>
      </c>
      <c r="AV16" s="3">
        <v>1.65</v>
      </c>
      <c r="AW16" s="3">
        <v>0.85</v>
      </c>
      <c r="AX16" s="5">
        <v>2.38</v>
      </c>
      <c r="AY16" s="5">
        <v>11.2</v>
      </c>
      <c r="AZ16" s="5">
        <v>7.14</v>
      </c>
      <c r="BA16" s="3">
        <v>1.22</v>
      </c>
      <c r="BB16" s="3">
        <v>0.18</v>
      </c>
      <c r="BC16" s="3">
        <v>0.59</v>
      </c>
      <c r="BD16" s="3">
        <v>1.91</v>
      </c>
      <c r="BE16" s="3">
        <v>0.52</v>
      </c>
      <c r="BF16" s="3">
        <v>4.76</v>
      </c>
      <c r="BG16" s="3">
        <v>9.3000000000000007</v>
      </c>
      <c r="BH16" s="3">
        <v>0.11</v>
      </c>
      <c r="BI16" s="3">
        <v>5.91</v>
      </c>
    </row>
    <row r="17" spans="1:61" x14ac:dyDescent="0.2">
      <c r="A17" s="1">
        <v>43742</v>
      </c>
      <c r="B17" s="2">
        <f>B12+7*8</f>
        <v>168</v>
      </c>
      <c r="C17">
        <f t="shared" si="1"/>
        <v>24</v>
      </c>
      <c r="D17" t="s">
        <v>82</v>
      </c>
      <c r="E17" s="25">
        <v>10000</v>
      </c>
      <c r="F17" s="25">
        <v>31.2</v>
      </c>
      <c r="G17" s="19">
        <f t="shared" si="2"/>
        <v>3120</v>
      </c>
      <c r="H17" s="25">
        <v>53.3</v>
      </c>
      <c r="I17" s="19">
        <f t="shared" si="3"/>
        <v>5329.9999999999991</v>
      </c>
      <c r="J17" s="25">
        <v>12.8</v>
      </c>
      <c r="K17" s="19">
        <f t="shared" si="4"/>
        <v>1280</v>
      </c>
      <c r="L17" s="25">
        <v>1.7</v>
      </c>
      <c r="M17" s="19">
        <f t="shared" si="5"/>
        <v>170</v>
      </c>
      <c r="N17" s="25">
        <v>1</v>
      </c>
      <c r="O17" s="19">
        <f t="shared" si="6"/>
        <v>100</v>
      </c>
      <c r="P17" s="25">
        <v>215</v>
      </c>
      <c r="Q17" s="16">
        <f>(I17+K17)*(49.5/100)*(47.8/100)</f>
        <v>1563.9920999999997</v>
      </c>
      <c r="R17">
        <f>(I17+K17)*(47.1/100)</f>
        <v>3113.31</v>
      </c>
      <c r="S17" s="3">
        <f>R17*(0.031/100)</f>
        <v>0.96512609999999999</v>
      </c>
      <c r="T17" s="3">
        <f>(I17+K17)*(49.5/100)*(17.9/100)</f>
        <v>585.67904999999985</v>
      </c>
      <c r="U17" s="3">
        <v>92.1</v>
      </c>
      <c r="V17" s="3">
        <f>(I17+K17)*(49.5/100)*(2.02/100)</f>
        <v>66.093389999999985</v>
      </c>
      <c r="W17">
        <v>74.7</v>
      </c>
      <c r="X17">
        <f>(69.4/(69.4+15.7+7.83))*100</f>
        <v>74.679866566232647</v>
      </c>
      <c r="Y17">
        <f>(15.7/(69.4+15.7+7.83))*100</f>
        <v>16.894436672764446</v>
      </c>
      <c r="Z17">
        <f>(7.83/(69.4+15.7+7.83))*100</f>
        <v>8.4256967610029037</v>
      </c>
      <c r="AA17">
        <f>0.07+0.013</f>
        <v>8.3000000000000004E-2</v>
      </c>
      <c r="AB17">
        <f>19.9+5.56</f>
        <v>25.459999999999997</v>
      </c>
      <c r="AC17">
        <f>7.7+54.1</f>
        <v>61.800000000000004</v>
      </c>
      <c r="AD17">
        <f>39.6+0.07</f>
        <v>39.67</v>
      </c>
      <c r="AE17">
        <f>69.9+19.9</f>
        <v>89.800000000000011</v>
      </c>
      <c r="AF17">
        <f>3+7.7</f>
        <v>10.7</v>
      </c>
      <c r="AG17">
        <f>(I17+K17)*(49.5/100)*(30.6/100)*(7.08/100)*(1.07/100)</f>
        <v>0.75848172325200003</v>
      </c>
      <c r="AI17" s="25">
        <f>I17*(58/100)*(60.6/100)</f>
        <v>1873.3883999999994</v>
      </c>
      <c r="AJ17" s="25">
        <f>I17*(58/100)*(29.1/100)</f>
        <v>899.59739999999988</v>
      </c>
      <c r="AK17" s="3">
        <f t="shared" ref="AK17" si="12">AI17/AJ17</f>
        <v>2.0824742268041234</v>
      </c>
      <c r="AL17">
        <v>81.7</v>
      </c>
      <c r="AM17">
        <v>5.67</v>
      </c>
      <c r="AN17">
        <v>1.93</v>
      </c>
      <c r="AO17" s="3">
        <v>57.8</v>
      </c>
      <c r="AP17" s="3">
        <v>5.83</v>
      </c>
      <c r="AQ17" s="3">
        <v>11.3</v>
      </c>
      <c r="AR17" s="3">
        <v>0.24</v>
      </c>
      <c r="AS17" s="3">
        <v>1.46</v>
      </c>
      <c r="AT17" s="3">
        <v>0.11</v>
      </c>
      <c r="AU17" s="3">
        <v>0.73</v>
      </c>
      <c r="AV17" s="3">
        <v>4.1900000000000004</v>
      </c>
      <c r="AW17" s="3">
        <v>0.41</v>
      </c>
      <c r="AX17" s="5">
        <v>1.1399999999999999</v>
      </c>
      <c r="AY17" s="5">
        <v>15.2</v>
      </c>
      <c r="AZ17" s="5">
        <v>0.51</v>
      </c>
      <c r="BA17" s="3">
        <v>1.08</v>
      </c>
      <c r="BB17" s="3">
        <v>0.44</v>
      </c>
      <c r="BC17" s="3">
        <v>0.73</v>
      </c>
      <c r="BD17" s="3">
        <v>2.92</v>
      </c>
      <c r="BE17" s="3">
        <v>2.5299999999999998</v>
      </c>
      <c r="BF17" s="3">
        <v>4.58</v>
      </c>
      <c r="BG17" s="3">
        <v>15.8</v>
      </c>
      <c r="BH17" s="3">
        <v>0.36</v>
      </c>
      <c r="BI17" s="3">
        <v>4.09</v>
      </c>
    </row>
    <row r="18" spans="1:61" x14ac:dyDescent="0.2">
      <c r="A18" s="1">
        <v>43755</v>
      </c>
      <c r="B18" s="2">
        <f>B12+7*10-1</f>
        <v>181</v>
      </c>
      <c r="C18">
        <f t="shared" si="1"/>
        <v>25.857142857142858</v>
      </c>
      <c r="D18" t="s">
        <v>83</v>
      </c>
      <c r="E18">
        <v>6400</v>
      </c>
      <c r="F18">
        <v>29.7</v>
      </c>
      <c r="G18" s="2">
        <f t="shared" si="2"/>
        <v>1900.8</v>
      </c>
      <c r="H18">
        <v>61.9</v>
      </c>
      <c r="I18" s="2">
        <f t="shared" si="3"/>
        <v>3961.6</v>
      </c>
      <c r="J18">
        <v>6.2</v>
      </c>
      <c r="K18" s="2">
        <f t="shared" si="4"/>
        <v>396.8</v>
      </c>
      <c r="L18">
        <v>1.3</v>
      </c>
      <c r="M18" s="2">
        <f t="shared" si="5"/>
        <v>83.2</v>
      </c>
      <c r="N18">
        <v>0.9</v>
      </c>
      <c r="O18" s="2">
        <f t="shared" si="6"/>
        <v>57.600000000000009</v>
      </c>
      <c r="P18">
        <v>274</v>
      </c>
      <c r="Q18" s="16">
        <f>(I18+K18)*(49.4/100)*(53.8/100)</f>
        <v>1158.3406847999997</v>
      </c>
      <c r="R18">
        <f>(I18+K18)*(46.6/100)</f>
        <v>2031.0144</v>
      </c>
      <c r="S18" s="3">
        <f>R18*(0.00982/100)</f>
        <v>0.19944561408</v>
      </c>
      <c r="T18" s="3">
        <f>(I18+K18)*(49.4/100)*(11/100)</f>
        <v>236.83545599999999</v>
      </c>
      <c r="U18" s="3">
        <v>85.2</v>
      </c>
      <c r="V18" s="3">
        <f>(I18+K18)*(49.4/100)*(1.29/100)</f>
        <v>27.774339839999996</v>
      </c>
      <c r="W18">
        <v>57.4</v>
      </c>
      <c r="X18">
        <f>(71.7/(71.7+10.9+5.73))*100</f>
        <v>81.172874448092372</v>
      </c>
      <c r="Y18">
        <f>(10.9/(71.7+10.9+5.73))*100</f>
        <v>12.340088305219062</v>
      </c>
      <c r="Z18">
        <f>(5.73/(71.7+10.9+5.73))*100</f>
        <v>6.487037246688554</v>
      </c>
      <c r="AA18">
        <f>0.015+0.00505</f>
        <v>2.0049999999999998E-2</v>
      </c>
      <c r="AB18">
        <f>4.83+3.51</f>
        <v>8.34</v>
      </c>
      <c r="AC18">
        <f>2.47+34.1</f>
        <v>36.57</v>
      </c>
      <c r="AD18">
        <f>24.9+0.015</f>
        <v>24.914999999999999</v>
      </c>
      <c r="AE18">
        <f>75.5+4.83</f>
        <v>80.33</v>
      </c>
      <c r="AF18">
        <f>2.47+7.27</f>
        <v>9.74</v>
      </c>
      <c r="AG18">
        <f>(I18+K18)*(49.4/100)*(32/100)*(11.6/100)*(0.65/100)</f>
        <v>0.51948780748800005</v>
      </c>
      <c r="AI18" s="3">
        <f>I18*(52.5/100)*(58.3/100)</f>
        <v>1212.5467200000001</v>
      </c>
      <c r="AJ18" s="3">
        <f>I18*(52.5/100)*(31/100)</f>
        <v>644.75040000000001</v>
      </c>
      <c r="AK18" s="3">
        <f t="shared" ref="AK18" si="13">AI18/AJ18</f>
        <v>1.8806451612903226</v>
      </c>
      <c r="AL18">
        <v>79.5</v>
      </c>
      <c r="AM18">
        <v>5.85</v>
      </c>
      <c r="AN18">
        <v>2.92</v>
      </c>
      <c r="AO18" s="3">
        <v>59.6</v>
      </c>
      <c r="AP18" s="3">
        <v>6.16</v>
      </c>
      <c r="AQ18" s="3">
        <v>11.1</v>
      </c>
      <c r="AR18" s="3">
        <v>0.22</v>
      </c>
      <c r="AS18" s="3">
        <v>0.8</v>
      </c>
      <c r="AT18" s="3">
        <v>7.1999999999999995E-2</v>
      </c>
      <c r="AU18" s="3">
        <v>0.62</v>
      </c>
      <c r="AV18" s="3">
        <v>2.1800000000000002</v>
      </c>
      <c r="AW18" s="3">
        <v>0.36</v>
      </c>
      <c r="AX18" s="5">
        <v>1.18</v>
      </c>
      <c r="AY18" s="5">
        <v>8.31</v>
      </c>
      <c r="AZ18" s="5">
        <v>0.56000000000000005</v>
      </c>
      <c r="BA18" s="3">
        <v>1.1599999999999999</v>
      </c>
      <c r="BB18" s="3">
        <v>0.34</v>
      </c>
      <c r="BC18" s="3">
        <v>0.59</v>
      </c>
      <c r="BD18" s="3">
        <v>3.4</v>
      </c>
      <c r="BE18" s="3">
        <v>1.55</v>
      </c>
      <c r="BF18" s="3">
        <v>3.3</v>
      </c>
      <c r="BG18" s="3">
        <v>13.5</v>
      </c>
      <c r="BH18" s="3">
        <v>0.25</v>
      </c>
      <c r="BI18" s="3">
        <v>3.74</v>
      </c>
    </row>
    <row r="19" spans="1:61" x14ac:dyDescent="0.2">
      <c r="I19" s="2"/>
    </row>
    <row r="20" spans="1:61" x14ac:dyDescent="0.2">
      <c r="I20" s="8"/>
    </row>
    <row r="22" spans="1:61" x14ac:dyDescent="0.2">
      <c r="A22" s="5" t="s">
        <v>38</v>
      </c>
    </row>
    <row r="23" spans="1:61" x14ac:dyDescent="0.2">
      <c r="A23" s="4" t="s">
        <v>39</v>
      </c>
    </row>
    <row r="24" spans="1:61" x14ac:dyDescent="0.2">
      <c r="A24" s="17" t="s">
        <v>77</v>
      </c>
    </row>
    <row r="26" spans="1:61" x14ac:dyDescent="0.2">
      <c r="A26" t="s">
        <v>84</v>
      </c>
    </row>
  </sheetData>
  <mergeCells count="10">
    <mergeCell ref="Q1:AH2"/>
    <mergeCell ref="E1:P2"/>
    <mergeCell ref="AI1:AQ2"/>
    <mergeCell ref="AR1:BI1"/>
    <mergeCell ref="AR2:AT2"/>
    <mergeCell ref="AU2:AW2"/>
    <mergeCell ref="AX2:AZ2"/>
    <mergeCell ref="BA2:BC2"/>
    <mergeCell ref="BD2:BF2"/>
    <mergeCell ref="BG2:B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DE056-EA0A-B348-8B89-E0E262B2F384}">
  <sheetPr>
    <tabColor rgb="FF0070C0"/>
  </sheetPr>
  <dimension ref="A1:BI26"/>
  <sheetViews>
    <sheetView workbookViewId="0">
      <pane xSplit="4" ySplit="2" topLeftCell="AQ3" activePane="bottomRight" state="frozen"/>
      <selection activeCell="R24" sqref="R24"/>
      <selection pane="topRight" activeCell="R24" sqref="R24"/>
      <selection pane="bottomLeft" activeCell="R24" sqref="R24"/>
      <selection pane="bottomRight" activeCell="BH29" sqref="BH29"/>
    </sheetView>
  </sheetViews>
  <sheetFormatPr baseColWidth="10" defaultColWidth="11" defaultRowHeight="16" x14ac:dyDescent="0.2"/>
  <cols>
    <col min="1" max="1" width="9.5" customWidth="1"/>
    <col min="2" max="2" width="9.83203125" style="2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20" width="24.1640625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38371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43595</v>
      </c>
      <c r="B4" s="2">
        <v>14</v>
      </c>
      <c r="C4">
        <f>B4/7</f>
        <v>2</v>
      </c>
      <c r="D4" t="s">
        <v>24</v>
      </c>
      <c r="E4">
        <v>8700</v>
      </c>
      <c r="F4">
        <v>28.1</v>
      </c>
      <c r="G4" s="16">
        <f t="shared" ref="G4:G18" si="0">E4*(F4/100)</f>
        <v>2444.7000000000003</v>
      </c>
      <c r="H4">
        <v>67</v>
      </c>
      <c r="I4" s="16">
        <f t="shared" ref="I4:I18" si="1">E4*(H4/100)</f>
        <v>5829</v>
      </c>
      <c r="J4">
        <v>3.1</v>
      </c>
      <c r="K4" s="16">
        <f t="shared" ref="K4:K18" si="2">E4*(J4/100)</f>
        <v>269.7</v>
      </c>
      <c r="L4">
        <v>0.8</v>
      </c>
      <c r="M4" s="16">
        <f t="shared" ref="M4:M18" si="3">E4*(L4/100)</f>
        <v>69.600000000000009</v>
      </c>
      <c r="N4">
        <v>1</v>
      </c>
      <c r="O4" s="16">
        <f t="shared" ref="O4:O18" si="4">E4*(N4/100)</f>
        <v>87</v>
      </c>
      <c r="P4">
        <v>888</v>
      </c>
      <c r="Q4" s="16">
        <f>(I4+K4)*(42.2/100)*(38.3/100)</f>
        <v>985.70848619999992</v>
      </c>
      <c r="R4" s="28">
        <f>(I4+K4)*(54.7/100)</f>
        <v>3335.9889000000003</v>
      </c>
      <c r="S4" s="3">
        <f>R4*(0.066/100)</f>
        <v>2.2017526740000002</v>
      </c>
      <c r="T4" s="3">
        <f>(I4+K4)*(42.2/100)*(14.2/100)</f>
        <v>365.45849879999997</v>
      </c>
      <c r="U4" s="3">
        <v>62.5</v>
      </c>
      <c r="V4" s="3">
        <f>(I4+K4)*(42.2/100)*(2.11/100)</f>
        <v>54.30404454</v>
      </c>
      <c r="W4">
        <v>27</v>
      </c>
      <c r="X4">
        <f>(75.5/(75.5+10.6+5.44))*100</f>
        <v>82.477605418396337</v>
      </c>
      <c r="Y4">
        <f>(10.6/(75.5+10.6+5.44))*100</f>
        <v>11.579637317019882</v>
      </c>
      <c r="Z4">
        <f>(5.44/(75.5+10.6+5.44))*100</f>
        <v>5.9427572645837898</v>
      </c>
      <c r="AA4">
        <f>0.65+0.063</f>
        <v>0.71300000000000008</v>
      </c>
      <c r="AB4">
        <f>29+0.32</f>
        <v>29.32</v>
      </c>
      <c r="AC4">
        <f>24+52.2</f>
        <v>76.2</v>
      </c>
      <c r="AD4">
        <f>85+0.65</f>
        <v>85.65</v>
      </c>
      <c r="AE4">
        <f>29+70.5</f>
        <v>99.5</v>
      </c>
      <c r="AF4">
        <f>24+6.62</f>
        <v>30.62</v>
      </c>
      <c r="AG4">
        <f>(I4+K4)*(42.2/100)*(43.6/100)*(8.47/100)*(3.36/100)</f>
        <v>3.1934410126375687</v>
      </c>
      <c r="AI4">
        <f>I4*(58.1/100)*(67.5/100)</f>
        <v>2285.9880750000002</v>
      </c>
      <c r="AJ4">
        <f>I4*(58.1/100)*(18.6/100)</f>
        <v>629.91671400000007</v>
      </c>
      <c r="AK4">
        <f t="shared" ref="AK4:AK9" si="5">AI4/AJ4</f>
        <v>3.629032258064516</v>
      </c>
      <c r="AL4">
        <v>87.7</v>
      </c>
      <c r="AM4">
        <v>8.83</v>
      </c>
      <c r="AN4" s="14">
        <v>0.14000000000000001</v>
      </c>
      <c r="AO4">
        <v>65.400000000000006</v>
      </c>
      <c r="AP4">
        <v>5.61</v>
      </c>
      <c r="AQ4">
        <v>15</v>
      </c>
      <c r="AR4">
        <v>0.27</v>
      </c>
      <c r="AS4">
        <v>4.3499999999999996</v>
      </c>
      <c r="AT4">
        <v>0.2</v>
      </c>
      <c r="AU4">
        <v>2.2599999999999998</v>
      </c>
      <c r="AV4">
        <v>19.8</v>
      </c>
      <c r="AW4">
        <v>4.05</v>
      </c>
      <c r="AX4" s="5">
        <v>0</v>
      </c>
      <c r="AY4" s="5">
        <v>78.8</v>
      </c>
      <c r="AZ4" s="5">
        <v>4.38</v>
      </c>
      <c r="BA4" s="3">
        <v>0.34</v>
      </c>
      <c r="BB4" s="3">
        <v>0.99</v>
      </c>
      <c r="BC4" s="3">
        <v>0.77</v>
      </c>
      <c r="BD4" s="3">
        <v>4.22</v>
      </c>
      <c r="BE4" s="3">
        <v>4.8600000000000003</v>
      </c>
      <c r="BF4" s="3">
        <v>10.199999999999999</v>
      </c>
      <c r="BG4" s="3">
        <v>10.6</v>
      </c>
      <c r="BH4" s="3">
        <v>1.26</v>
      </c>
      <c r="BI4" s="3">
        <v>2.13</v>
      </c>
    </row>
    <row r="5" spans="1:61" x14ac:dyDescent="0.2">
      <c r="A5" s="1">
        <v>43599</v>
      </c>
      <c r="B5" s="2">
        <f>B4+4</f>
        <v>18</v>
      </c>
      <c r="C5">
        <f t="shared" ref="C5:C18" si="6">B5/7</f>
        <v>2.5714285714285716</v>
      </c>
      <c r="D5" t="s">
        <v>25</v>
      </c>
      <c r="E5">
        <v>5800</v>
      </c>
      <c r="F5">
        <v>47.6</v>
      </c>
      <c r="G5" s="16">
        <f t="shared" si="0"/>
        <v>2760.8</v>
      </c>
      <c r="H5">
        <v>45.4</v>
      </c>
      <c r="I5" s="16">
        <f t="shared" si="1"/>
        <v>2633.2</v>
      </c>
      <c r="J5">
        <v>2.8</v>
      </c>
      <c r="K5" s="16">
        <f t="shared" si="2"/>
        <v>162.39999999999998</v>
      </c>
      <c r="L5">
        <v>2.2000000000000002</v>
      </c>
      <c r="M5" s="16">
        <f t="shared" si="3"/>
        <v>127.60000000000001</v>
      </c>
      <c r="N5">
        <v>2</v>
      </c>
      <c r="O5" s="16">
        <f t="shared" si="4"/>
        <v>116</v>
      </c>
      <c r="P5">
        <v>642</v>
      </c>
      <c r="Q5" s="16">
        <f>(I5+K5)*(44.3/100)*(52.2/100)</f>
        <v>646.47131759999991</v>
      </c>
      <c r="R5" s="28">
        <f>(I5+K5)*(53.6/100)</f>
        <v>1498.4416000000001</v>
      </c>
      <c r="S5" s="3">
        <f>R5*(0.035/100)</f>
        <v>0.52445456000000013</v>
      </c>
      <c r="T5" s="3">
        <f>(I5+K5)*(44.3/100)*(8.82/100)</f>
        <v>109.23136055999998</v>
      </c>
      <c r="U5" s="3">
        <v>68.5</v>
      </c>
      <c r="V5" s="3">
        <f>(I5+K5)*(44.3/100)*(1.36/100)</f>
        <v>16.842930880000001</v>
      </c>
      <c r="W5">
        <v>25.9</v>
      </c>
      <c r="X5">
        <f>(61.2/(61.2+21.1+12.1))*100</f>
        <v>64.830508474576263</v>
      </c>
      <c r="Y5">
        <f>(21.1/(61.2+21.1+12.1))*100</f>
        <v>22.351694915254239</v>
      </c>
      <c r="Z5">
        <f>(12.1/(61.2+21.1+12.1))*100</f>
        <v>12.817796610169491</v>
      </c>
      <c r="AA5">
        <f>0.14+0.037</f>
        <v>0.17700000000000002</v>
      </c>
      <c r="AB5">
        <f>35.3+0.64</f>
        <v>35.94</v>
      </c>
      <c r="AC5">
        <f>41.7+39.5</f>
        <v>81.2</v>
      </c>
      <c r="AD5">
        <f>79.1+0.14</f>
        <v>79.239999999999995</v>
      </c>
      <c r="AE5">
        <f>63.7+35.3</f>
        <v>99</v>
      </c>
      <c r="AF5">
        <f>9.27+41.7</f>
        <v>50.97</v>
      </c>
      <c r="AG5">
        <f>(I5+K5)*(44.3/100)*(36.3/100)*(5.66/100)*(3.23/100)</f>
        <v>0.82187228702647197</v>
      </c>
      <c r="AH5" s="3"/>
      <c r="AI5">
        <f>I5*(57.9/100)*(71.6/100)</f>
        <v>1091.6299247999998</v>
      </c>
      <c r="AJ5">
        <f>I5*(57.9/100)*(15.3/100)</f>
        <v>233.26728839999998</v>
      </c>
      <c r="AK5">
        <f t="shared" si="5"/>
        <v>4.6797385620915026</v>
      </c>
      <c r="AL5">
        <v>86.8</v>
      </c>
      <c r="AM5">
        <v>9.6199999999999992</v>
      </c>
      <c r="AN5">
        <v>0.11</v>
      </c>
      <c r="AO5" s="3">
        <v>55.1</v>
      </c>
      <c r="AP5" s="3">
        <v>4.9000000000000004</v>
      </c>
      <c r="AQ5" s="3">
        <v>19.3</v>
      </c>
      <c r="AR5" s="3">
        <v>0.25</v>
      </c>
      <c r="AS5" s="3">
        <v>4.0199999999999996</v>
      </c>
      <c r="AT5" s="3">
        <v>6.5000000000000002E-2</v>
      </c>
      <c r="AU5" s="3">
        <v>2.98</v>
      </c>
      <c r="AV5" s="3">
        <v>24.9</v>
      </c>
      <c r="AW5" s="3">
        <v>2.4</v>
      </c>
      <c r="AX5" s="5">
        <v>4.72</v>
      </c>
      <c r="AY5" s="5">
        <v>68.900000000000006</v>
      </c>
      <c r="AZ5" s="5">
        <v>0.94</v>
      </c>
      <c r="BA5" s="3">
        <v>0.3</v>
      </c>
      <c r="BB5" s="3">
        <v>1.1200000000000001</v>
      </c>
      <c r="BC5" s="3">
        <v>0.86</v>
      </c>
      <c r="BD5" s="3">
        <v>3.39</v>
      </c>
      <c r="BE5" s="3">
        <v>10.199999999999999</v>
      </c>
      <c r="BF5" s="3">
        <v>5.38</v>
      </c>
      <c r="BG5" s="3">
        <v>10.6</v>
      </c>
      <c r="BH5" s="3">
        <v>1.31</v>
      </c>
      <c r="BI5" s="3">
        <v>2.3199999999999998</v>
      </c>
    </row>
    <row r="6" spans="1:61" s="3" customFormat="1" x14ac:dyDescent="0.2">
      <c r="A6" s="15">
        <v>43602</v>
      </c>
      <c r="B6" s="16">
        <f>B4+10</f>
        <v>24</v>
      </c>
      <c r="C6" s="3">
        <f t="shared" si="6"/>
        <v>3.4285714285714284</v>
      </c>
      <c r="D6" s="3" t="s">
        <v>26</v>
      </c>
      <c r="E6" s="3">
        <v>6700</v>
      </c>
      <c r="F6" s="3">
        <v>29.7</v>
      </c>
      <c r="G6" s="16">
        <f t="shared" si="0"/>
        <v>1989.8999999999999</v>
      </c>
      <c r="H6" s="3">
        <v>66.3</v>
      </c>
      <c r="I6" s="16">
        <f t="shared" si="1"/>
        <v>4442.0999999999995</v>
      </c>
      <c r="J6" s="3">
        <v>3</v>
      </c>
      <c r="K6" s="16">
        <f t="shared" si="2"/>
        <v>201</v>
      </c>
      <c r="L6" s="3">
        <v>0.4</v>
      </c>
      <c r="M6" s="16">
        <f t="shared" si="3"/>
        <v>26.8</v>
      </c>
      <c r="N6" s="3">
        <v>0.6</v>
      </c>
      <c r="O6" s="16">
        <f t="shared" si="4"/>
        <v>40.200000000000003</v>
      </c>
      <c r="P6" s="3">
        <v>337</v>
      </c>
      <c r="Q6" s="16">
        <f>(I6+K6)*(44.1/100)*(56.9/100)</f>
        <v>1165.0884398999997</v>
      </c>
      <c r="R6" s="28">
        <f>(I6+K6)*(52.1/100)</f>
        <v>2419.0550999999996</v>
      </c>
      <c r="S6" s="3">
        <f>R6*(0.1/100)</f>
        <v>2.4190550999999996</v>
      </c>
      <c r="T6" s="3">
        <f>(I6+K6)*(44.1/100)*(17.2/100)</f>
        <v>352.18842119999994</v>
      </c>
      <c r="U6" s="3">
        <v>74.400000000000006</v>
      </c>
      <c r="V6" s="3">
        <f>(I6+K6)*(44.1/100)*(1.13/100)</f>
        <v>23.137960229999994</v>
      </c>
      <c r="W6">
        <v>20.3</v>
      </c>
      <c r="X6">
        <f>(67.1/(67.1+11.8+9.79))*100</f>
        <v>75.656782049836508</v>
      </c>
      <c r="Y6">
        <f>(11.8/(67.1+11.8+9.79))*100</f>
        <v>13.30476942158079</v>
      </c>
      <c r="Z6">
        <f>(9.79/(67.1+11.8+9.79))*100</f>
        <v>11.038448528582704</v>
      </c>
      <c r="AA6">
        <f>3.74+0.51</f>
        <v>4.25</v>
      </c>
      <c r="AB6">
        <f>36.1+0.74</f>
        <v>36.840000000000003</v>
      </c>
      <c r="AC6">
        <f>28.6+32.4</f>
        <v>61</v>
      </c>
      <c r="AD6">
        <f>74.2+3.74</f>
        <v>77.94</v>
      </c>
      <c r="AE6">
        <f>62.7+36.1</f>
        <v>98.800000000000011</v>
      </c>
      <c r="AF6">
        <f>16.4+28.6</f>
        <v>45</v>
      </c>
      <c r="AG6">
        <f>(I6+K6)*(44.1/100)*(23.5/100)*(11.4/100)*(2.83/100)</f>
        <v>1.5524076561146998</v>
      </c>
      <c r="AH6"/>
      <c r="AI6">
        <f>I6*(58.5/100)*(70.9/100)</f>
        <v>1842.4276064999997</v>
      </c>
      <c r="AJ6">
        <f>I6*(58.5/100)*(17/100)</f>
        <v>441.76684499999993</v>
      </c>
      <c r="AK6">
        <f t="shared" si="5"/>
        <v>4.1705882352941179</v>
      </c>
      <c r="AL6" s="3">
        <v>88.3</v>
      </c>
      <c r="AM6" s="3">
        <v>9</v>
      </c>
      <c r="AN6" s="3">
        <v>0.18</v>
      </c>
      <c r="AO6" s="3">
        <v>81.7</v>
      </c>
      <c r="AP6" s="3">
        <v>5.18</v>
      </c>
      <c r="AQ6" s="3">
        <v>8.9700000000000006</v>
      </c>
      <c r="AR6" s="3">
        <v>0.12</v>
      </c>
      <c r="AS6" s="3">
        <v>4</v>
      </c>
      <c r="AT6" s="3">
        <v>0.12</v>
      </c>
      <c r="AU6" s="3">
        <v>0.62</v>
      </c>
      <c r="AV6" s="3">
        <v>20.2</v>
      </c>
      <c r="AW6" s="3">
        <v>0.63</v>
      </c>
      <c r="AX6" s="5">
        <v>1.19</v>
      </c>
      <c r="AY6" s="5">
        <v>69.599999999999994</v>
      </c>
      <c r="AZ6" s="5">
        <v>0</v>
      </c>
      <c r="BA6" s="3">
        <v>0.25</v>
      </c>
      <c r="BB6" s="3">
        <v>1.32</v>
      </c>
      <c r="BC6" s="3">
        <v>0.28000000000000003</v>
      </c>
      <c r="BD6" s="3">
        <v>0.97</v>
      </c>
      <c r="BE6" s="3">
        <v>8</v>
      </c>
      <c r="BF6" s="3">
        <v>1.85</v>
      </c>
      <c r="BG6" s="3">
        <v>11.6</v>
      </c>
      <c r="BH6" s="3">
        <v>1.42</v>
      </c>
      <c r="BI6" s="3">
        <v>0.76</v>
      </c>
    </row>
    <row r="7" spans="1:61" x14ac:dyDescent="0.2">
      <c r="A7" s="1">
        <v>43623</v>
      </c>
      <c r="B7" s="2">
        <f>B4+28</f>
        <v>42</v>
      </c>
      <c r="C7">
        <f t="shared" si="6"/>
        <v>6</v>
      </c>
      <c r="D7" t="s">
        <v>33</v>
      </c>
      <c r="E7">
        <v>5800</v>
      </c>
      <c r="F7">
        <v>19.7</v>
      </c>
      <c r="G7" s="16">
        <f t="shared" si="0"/>
        <v>1142.5999999999999</v>
      </c>
      <c r="H7">
        <v>77</v>
      </c>
      <c r="I7" s="16">
        <f t="shared" si="1"/>
        <v>4466</v>
      </c>
      <c r="J7">
        <v>2.2000000000000002</v>
      </c>
      <c r="K7" s="16">
        <f t="shared" si="2"/>
        <v>127.60000000000001</v>
      </c>
      <c r="L7">
        <v>0.6</v>
      </c>
      <c r="M7" s="16">
        <f t="shared" si="3"/>
        <v>34.800000000000004</v>
      </c>
      <c r="N7">
        <v>0.5</v>
      </c>
      <c r="O7" s="16">
        <f t="shared" si="4"/>
        <v>29</v>
      </c>
      <c r="P7">
        <v>415</v>
      </c>
      <c r="Q7" s="16">
        <f>(I7+K7)*(32.2/100)*(67.3/100)</f>
        <v>995.46068159999993</v>
      </c>
      <c r="R7" s="28">
        <f>(I7+K7)*(65.9/100)</f>
        <v>3027.1824000000006</v>
      </c>
      <c r="S7" s="3">
        <f>R7*(0.056/100)</f>
        <v>1.6952221440000006</v>
      </c>
      <c r="T7" s="3">
        <f>(I7+K7)*(32.2/100)*(6.59/100)</f>
        <v>97.47527328000001</v>
      </c>
      <c r="U7" s="3">
        <v>77.8</v>
      </c>
      <c r="V7" s="3">
        <f>(I7+K7)*(32.2/100)*(0.82/100)</f>
        <v>12.128941439999998</v>
      </c>
      <c r="W7">
        <v>20.9</v>
      </c>
      <c r="X7">
        <f>(69.6/(69.6+9.28+10.6))*100</f>
        <v>77.782744747429604</v>
      </c>
      <c r="Y7">
        <f>(9.28/(69.6+9.28+10.6))*100</f>
        <v>10.371032632990614</v>
      </c>
      <c r="Z7">
        <f>(10.6/(69.6+9.28+10.6))*100</f>
        <v>11.846222619579795</v>
      </c>
      <c r="AA7">
        <f>0.66+0.096</f>
        <v>0.75600000000000001</v>
      </c>
      <c r="AB7">
        <f>25.8+2.06</f>
        <v>27.86</v>
      </c>
      <c r="AC7">
        <f>15+49.9</f>
        <v>64.900000000000006</v>
      </c>
      <c r="AD7">
        <f>77.6+0.66</f>
        <v>78.259999999999991</v>
      </c>
      <c r="AE7">
        <f>71.1+25.8</f>
        <v>96.899999999999991</v>
      </c>
      <c r="AF7">
        <f>15+8.04</f>
        <v>23.04</v>
      </c>
      <c r="AG7">
        <f>(I7+K7)*(32.2/100)*(24.4/100)*(10.6/100)*(2.44/100)</f>
        <v>0.93345753295871992</v>
      </c>
      <c r="AI7">
        <f>I7*(66.6/100)*(70.6/100)</f>
        <v>2099.8953359999996</v>
      </c>
      <c r="AJ7">
        <f>I7*(66.6/100)*(16.7/100)</f>
        <v>496.71745199999992</v>
      </c>
      <c r="AK7">
        <f t="shared" si="5"/>
        <v>4.227544910179641</v>
      </c>
      <c r="AL7">
        <v>91.4</v>
      </c>
      <c r="AM7">
        <v>6.59</v>
      </c>
      <c r="AN7">
        <v>6.8000000000000005E-2</v>
      </c>
      <c r="AO7">
        <v>84.9</v>
      </c>
      <c r="AP7">
        <v>3.73</v>
      </c>
      <c r="AQ7">
        <v>6.85</v>
      </c>
      <c r="AR7">
        <v>0.15</v>
      </c>
      <c r="AS7">
        <v>4</v>
      </c>
      <c r="AT7">
        <v>7.1999999999999995E-2</v>
      </c>
      <c r="AU7">
        <v>0.56000000000000005</v>
      </c>
      <c r="AV7">
        <v>17.899999999999999</v>
      </c>
      <c r="AW7">
        <v>1.27</v>
      </c>
      <c r="AX7" s="5">
        <v>0</v>
      </c>
      <c r="AY7" s="5">
        <v>73.900000000000006</v>
      </c>
      <c r="AZ7" s="5">
        <v>0</v>
      </c>
      <c r="BA7" s="3">
        <v>0.23</v>
      </c>
      <c r="BB7" s="3">
        <v>1.33</v>
      </c>
      <c r="BC7" s="3">
        <v>0.12</v>
      </c>
      <c r="BD7" s="3">
        <v>1</v>
      </c>
      <c r="BE7" s="3">
        <v>5.01</v>
      </c>
      <c r="BF7" s="3">
        <v>3.17</v>
      </c>
      <c r="BG7" s="3">
        <v>9.6300000000000008</v>
      </c>
      <c r="BH7" s="3">
        <v>1.18</v>
      </c>
      <c r="BI7" s="3">
        <v>1.36</v>
      </c>
    </row>
    <row r="8" spans="1:61" x14ac:dyDescent="0.2">
      <c r="A8" s="1">
        <v>43637</v>
      </c>
      <c r="B8" s="2">
        <f>B4+6*7</f>
        <v>56</v>
      </c>
      <c r="C8">
        <f t="shared" si="6"/>
        <v>8</v>
      </c>
      <c r="D8" t="s">
        <v>34</v>
      </c>
      <c r="E8">
        <v>7000</v>
      </c>
      <c r="F8">
        <v>31</v>
      </c>
      <c r="G8" s="16">
        <f t="shared" si="0"/>
        <v>2170</v>
      </c>
      <c r="H8">
        <v>66.099999999999994</v>
      </c>
      <c r="I8" s="16">
        <f t="shared" si="1"/>
        <v>4626.9999999999991</v>
      </c>
      <c r="J8">
        <v>1.7</v>
      </c>
      <c r="K8" s="16">
        <f t="shared" si="2"/>
        <v>119.00000000000001</v>
      </c>
      <c r="L8">
        <v>0.7</v>
      </c>
      <c r="M8" s="16">
        <f t="shared" si="3"/>
        <v>48.999999999999993</v>
      </c>
      <c r="N8">
        <v>0.5</v>
      </c>
      <c r="O8" s="16">
        <f t="shared" si="4"/>
        <v>35</v>
      </c>
      <c r="P8">
        <v>474</v>
      </c>
      <c r="Q8" s="16">
        <f>(I8+K8)*(29.3/100)*(57.9/100)</f>
        <v>805.14466199999981</v>
      </c>
      <c r="R8" s="28">
        <f>(I8+K8)*(68.5/100)</f>
        <v>3251.0099999999998</v>
      </c>
      <c r="S8" s="3">
        <f>R8*(0.067/100)</f>
        <v>2.1781766999999999</v>
      </c>
      <c r="T8" s="3">
        <f>(I8+K8)*(29.3/100)*(11.7/100)</f>
        <v>162.69762599999996</v>
      </c>
      <c r="U8" s="3">
        <v>86.7</v>
      </c>
      <c r="V8" s="3">
        <f>(I8+K8)*(29.3/100)*(1.12/100)</f>
        <v>15.574473599999999</v>
      </c>
      <c r="W8">
        <v>28.9</v>
      </c>
      <c r="X8">
        <f>(71.1/(71.1+6.98+15.1))*100</f>
        <v>76.303927881519641</v>
      </c>
      <c r="Y8">
        <f>(6.98/(71.1+6.98+15.1))*100</f>
        <v>7.4908778707877239</v>
      </c>
      <c r="Z8">
        <f>(15.1/(71.1+6.98+15.1))*100</f>
        <v>16.205194247692638</v>
      </c>
      <c r="AA8">
        <f>0.58+0.066</f>
        <v>0.64599999999999991</v>
      </c>
      <c r="AB8">
        <f>2.5+3.05</f>
        <v>5.55</v>
      </c>
      <c r="AC8">
        <f>15.4+30.5</f>
        <v>45.9</v>
      </c>
      <c r="AD8">
        <f>82.9+0.58</f>
        <v>83.48</v>
      </c>
      <c r="AE8">
        <f>70.8+23.5</f>
        <v>94.3</v>
      </c>
      <c r="AF8">
        <f>17.2+15.4</f>
        <v>32.6</v>
      </c>
      <c r="AG8">
        <f>(I8+K8)*(29.3/100)*(28.4/100)*(6.84/100)*(6.34/100)</f>
        <v>1.7126122805971196</v>
      </c>
      <c r="AI8">
        <f>I8*(71.7/100)*(69.8/100)</f>
        <v>2315.6561819999997</v>
      </c>
      <c r="AJ8">
        <f>I8*(71.7/100)*(17.3/100)</f>
        <v>573.93770700000005</v>
      </c>
      <c r="AK8">
        <f t="shared" si="5"/>
        <v>4.0346820809248545</v>
      </c>
      <c r="AL8">
        <v>91</v>
      </c>
      <c r="AM8">
        <v>6.87</v>
      </c>
      <c r="AN8">
        <v>0.15</v>
      </c>
      <c r="AO8">
        <v>86.6</v>
      </c>
      <c r="AP8">
        <v>2.88</v>
      </c>
      <c r="AQ8">
        <v>6.66</v>
      </c>
      <c r="AR8">
        <v>0.13</v>
      </c>
      <c r="AS8">
        <v>2.97</v>
      </c>
      <c r="AT8">
        <v>0.14000000000000001</v>
      </c>
      <c r="AU8">
        <v>1.2</v>
      </c>
      <c r="AV8">
        <v>12.2</v>
      </c>
      <c r="AW8">
        <v>1.2</v>
      </c>
      <c r="AX8" s="5">
        <v>0.69</v>
      </c>
      <c r="AY8" s="5">
        <v>43.8</v>
      </c>
      <c r="AZ8" s="5">
        <v>0</v>
      </c>
      <c r="BA8" s="3">
        <v>0.22</v>
      </c>
      <c r="BB8" s="3">
        <v>0.57999999999999996</v>
      </c>
      <c r="BC8" s="3">
        <v>0.11</v>
      </c>
      <c r="BD8" s="3">
        <v>1.65</v>
      </c>
      <c r="BE8" s="3">
        <v>3</v>
      </c>
      <c r="BF8" s="3">
        <v>3</v>
      </c>
      <c r="BG8" s="3">
        <v>8.36</v>
      </c>
      <c r="BH8" s="3">
        <v>0.97</v>
      </c>
      <c r="BI8" s="3">
        <v>0.84</v>
      </c>
    </row>
    <row r="9" spans="1:61" x14ac:dyDescent="0.2">
      <c r="A9" s="1">
        <v>43651</v>
      </c>
      <c r="B9" s="2">
        <f>B4+8*7</f>
        <v>70</v>
      </c>
      <c r="C9">
        <f t="shared" si="6"/>
        <v>10</v>
      </c>
      <c r="D9" t="s">
        <v>35</v>
      </c>
      <c r="E9">
        <v>6500</v>
      </c>
      <c r="F9">
        <v>29</v>
      </c>
      <c r="G9" s="16">
        <f t="shared" si="0"/>
        <v>1884.9999999999998</v>
      </c>
      <c r="H9">
        <v>67.7</v>
      </c>
      <c r="I9" s="16">
        <f t="shared" si="1"/>
        <v>4400.5</v>
      </c>
      <c r="J9">
        <v>2.1</v>
      </c>
      <c r="K9" s="16">
        <f t="shared" si="2"/>
        <v>136.5</v>
      </c>
      <c r="L9">
        <v>0.6</v>
      </c>
      <c r="M9" s="16">
        <f t="shared" si="3"/>
        <v>39</v>
      </c>
      <c r="N9">
        <v>0.6</v>
      </c>
      <c r="O9" s="16">
        <f t="shared" si="4"/>
        <v>39</v>
      </c>
      <c r="P9">
        <v>427</v>
      </c>
      <c r="Q9" s="16">
        <f>(I9+K9)*(30.3/100)*(62.3/100)</f>
        <v>856.44495300000005</v>
      </c>
      <c r="R9" s="28">
        <f>(I9+K9)*(67.9/100)</f>
        <v>3080.623</v>
      </c>
      <c r="S9" s="3">
        <f>R9*(0.032/100)</f>
        <v>0.98579936000000012</v>
      </c>
      <c r="T9" s="3">
        <f>(I9+K9)*(30.3/100)*(12.2/100)</f>
        <v>167.714742</v>
      </c>
      <c r="U9" s="3">
        <v>81.8</v>
      </c>
      <c r="V9" s="3">
        <f>(I9+K9)*(30.3/100)*(1.36/100)</f>
        <v>18.696069600000001</v>
      </c>
      <c r="W9">
        <v>32.4</v>
      </c>
      <c r="X9">
        <f>(59.9/(59.9+5.44+23.7))*100</f>
        <v>67.273135669362077</v>
      </c>
      <c r="Y9">
        <f>(5.44/(59.9+5.44+23.7))*100</f>
        <v>6.109613656783468</v>
      </c>
      <c r="Z9">
        <f>(23.7/(59.9+5.44+23.7))*100</f>
        <v>26.617250673854443</v>
      </c>
      <c r="AA9">
        <f>0.022+0.022</f>
        <v>4.3999999999999997E-2</v>
      </c>
      <c r="AB9">
        <f>7.82+14.9</f>
        <v>22.72</v>
      </c>
      <c r="AC9">
        <f>1.71+46.2</f>
        <v>47.910000000000004</v>
      </c>
      <c r="AD9">
        <f>17.7+0.022</f>
        <v>17.721999999999998</v>
      </c>
      <c r="AE9">
        <f>55+7.82</f>
        <v>62.82</v>
      </c>
      <c r="AF9">
        <f>1.88+1.71</f>
        <v>3.59</v>
      </c>
      <c r="AG9">
        <f>(I9+K9)*(30.3/100)*(22.8/100)*(10.9/100)*(1.14/100)</f>
        <v>0.38947322260079997</v>
      </c>
      <c r="AI9">
        <f>I9*(71.1/100)*(70.7/100)</f>
        <v>2212.0301385000002</v>
      </c>
      <c r="AJ9">
        <f>I9*(71.1/100)*(16.8/100)</f>
        <v>525.63092399999994</v>
      </c>
      <c r="AK9">
        <f t="shared" si="5"/>
        <v>4.2083333333333339</v>
      </c>
      <c r="AL9">
        <v>90</v>
      </c>
      <c r="AM9">
        <v>7.45</v>
      </c>
      <c r="AN9">
        <v>0.27</v>
      </c>
      <c r="AO9">
        <v>84.5</v>
      </c>
      <c r="AP9">
        <v>3.18</v>
      </c>
      <c r="AQ9">
        <v>7.59</v>
      </c>
      <c r="AR9">
        <v>0.21</v>
      </c>
      <c r="AS9">
        <v>1.3</v>
      </c>
      <c r="AT9">
        <v>0.11</v>
      </c>
      <c r="AU9">
        <v>0.56999999999999995</v>
      </c>
      <c r="AV9">
        <v>6.32</v>
      </c>
      <c r="AW9">
        <v>1.9</v>
      </c>
      <c r="AX9" s="5">
        <v>2.56</v>
      </c>
      <c r="AY9" s="5">
        <v>18.3</v>
      </c>
      <c r="AZ9" s="5">
        <v>1.83</v>
      </c>
      <c r="BA9" s="3">
        <v>0.23</v>
      </c>
      <c r="BB9" s="3">
        <v>0.33</v>
      </c>
      <c r="BC9" s="3">
        <v>0.39</v>
      </c>
      <c r="BD9" s="3">
        <v>0.79</v>
      </c>
      <c r="BE9" s="3">
        <v>1.44</v>
      </c>
      <c r="BF9" s="3">
        <v>5.0999999999999996</v>
      </c>
      <c r="BG9" s="3">
        <v>4.82</v>
      </c>
      <c r="BH9" s="3">
        <v>0.16</v>
      </c>
      <c r="BI9" s="3">
        <v>3.12</v>
      </c>
    </row>
    <row r="10" spans="1:61" x14ac:dyDescent="0.2">
      <c r="A10" s="1">
        <v>43665</v>
      </c>
      <c r="B10" s="2">
        <f>B4+70</f>
        <v>84</v>
      </c>
      <c r="C10">
        <f t="shared" si="6"/>
        <v>12</v>
      </c>
      <c r="D10" t="s">
        <v>36</v>
      </c>
      <c r="E10">
        <v>6000</v>
      </c>
      <c r="F10">
        <v>23.2</v>
      </c>
      <c r="G10" s="16">
        <f t="shared" si="0"/>
        <v>1392</v>
      </c>
      <c r="H10">
        <v>72.8</v>
      </c>
      <c r="I10" s="16">
        <f t="shared" si="1"/>
        <v>4368</v>
      </c>
      <c r="J10">
        <v>2.7</v>
      </c>
      <c r="K10" s="16">
        <f t="shared" si="2"/>
        <v>162.00000000000003</v>
      </c>
      <c r="L10">
        <v>0.7</v>
      </c>
      <c r="M10" s="16">
        <f t="shared" si="3"/>
        <v>41.999999999999993</v>
      </c>
      <c r="N10">
        <v>0.6</v>
      </c>
      <c r="O10" s="16">
        <f t="shared" si="4"/>
        <v>36</v>
      </c>
      <c r="P10">
        <v>457</v>
      </c>
      <c r="Q10" s="16">
        <f>(I10+K10)*(24.7/100)*(61.7/100)</f>
        <v>690.36747000000003</v>
      </c>
      <c r="R10" s="28">
        <f>(I10+K10)*(72.7/100)</f>
        <v>3293.31</v>
      </c>
      <c r="S10" s="3">
        <f>R10*(0.015/100)</f>
        <v>0.49399649999999995</v>
      </c>
      <c r="T10" s="3">
        <f>(I10+K10)*(24.7/100)*(11.7/100)</f>
        <v>130.91247000000001</v>
      </c>
      <c r="U10" s="3">
        <v>85.3</v>
      </c>
      <c r="V10" s="3">
        <f>(I10+K10)*(24.7/100)*(1.74/100)</f>
        <v>19.469034000000001</v>
      </c>
      <c r="W10">
        <v>35.4</v>
      </c>
      <c r="X10">
        <f>(57.9/(57.9+9.52+16.2))*100</f>
        <v>69.24180817986128</v>
      </c>
      <c r="Y10">
        <f>(9.52/(57.9+9.52+16.2))*100</f>
        <v>11.384836163597225</v>
      </c>
      <c r="Z10">
        <f>(16.2/(57.9+9.52+16.2))*100</f>
        <v>19.373355656541495</v>
      </c>
      <c r="AA10">
        <f>0.019+0.028</f>
        <v>4.7E-2</v>
      </c>
      <c r="AB10">
        <f>9.8+11.2</f>
        <v>21</v>
      </c>
      <c r="AC10">
        <f>2.82+68.9</f>
        <v>71.72</v>
      </c>
      <c r="AD10">
        <f>17.8+0.019</f>
        <v>17.818999999999999</v>
      </c>
      <c r="AE10">
        <f>51.8+9.8</f>
        <v>61.599999999999994</v>
      </c>
      <c r="AF10">
        <f>2.82+2.55</f>
        <v>5.3699999999999992</v>
      </c>
      <c r="AG10">
        <f>(I10+K10)*(24.7/100)*(22.8/100)*(16.3/100)*(0.43/100)</f>
        <v>0.17880763633200003</v>
      </c>
      <c r="AI10">
        <f>I10*(75.3/100)*(72.3/100)</f>
        <v>2378.0221919999999</v>
      </c>
      <c r="AJ10">
        <f>I10*(75.3/100)*(17/100)</f>
        <v>559.14768000000004</v>
      </c>
      <c r="AK10">
        <f t="shared" ref="AK10" si="7">AI10/AJ10</f>
        <v>4.2529411764705882</v>
      </c>
      <c r="AL10">
        <v>80.099999999999994</v>
      </c>
      <c r="AM10">
        <v>9.1300000000000008</v>
      </c>
      <c r="AN10">
        <v>1.04</v>
      </c>
      <c r="AO10">
        <v>78.099999999999994</v>
      </c>
      <c r="AP10">
        <v>8.6</v>
      </c>
      <c r="AQ10">
        <v>6.49</v>
      </c>
      <c r="AR10">
        <v>0.17</v>
      </c>
      <c r="AS10">
        <v>2.08</v>
      </c>
      <c r="AT10">
        <v>0.1</v>
      </c>
      <c r="AU10">
        <v>0.41</v>
      </c>
      <c r="AV10">
        <v>7.38</v>
      </c>
      <c r="AW10">
        <v>0.97</v>
      </c>
      <c r="AX10" s="5">
        <v>0.54</v>
      </c>
      <c r="AY10" s="5">
        <v>21.8</v>
      </c>
      <c r="AZ10" s="5">
        <v>1.33</v>
      </c>
      <c r="BA10" s="3">
        <v>0.19</v>
      </c>
      <c r="BB10" s="3">
        <v>0.5</v>
      </c>
      <c r="BC10" s="3">
        <v>0.26</v>
      </c>
      <c r="BD10" s="3">
        <v>0.69</v>
      </c>
      <c r="BE10" s="3">
        <v>1.22</v>
      </c>
      <c r="BF10" s="3">
        <v>7.74</v>
      </c>
      <c r="BG10" s="3">
        <v>5.38</v>
      </c>
      <c r="BH10" s="3">
        <v>0.57999999999999996</v>
      </c>
      <c r="BI10" s="3">
        <v>2.0299999999999998</v>
      </c>
    </row>
    <row r="11" spans="1:61" x14ac:dyDescent="0.2">
      <c r="A11" s="1">
        <v>43679</v>
      </c>
      <c r="B11" s="2">
        <f>B4+7*12</f>
        <v>98</v>
      </c>
      <c r="C11">
        <f t="shared" si="6"/>
        <v>14</v>
      </c>
      <c r="D11" t="s">
        <v>37</v>
      </c>
      <c r="E11">
        <v>7100</v>
      </c>
      <c r="F11">
        <v>19.7</v>
      </c>
      <c r="G11" s="16">
        <f t="shared" si="0"/>
        <v>1398.6999999999998</v>
      </c>
      <c r="H11">
        <v>75.2</v>
      </c>
      <c r="I11" s="16">
        <f t="shared" si="1"/>
        <v>5339.2</v>
      </c>
      <c r="J11">
        <v>3.4</v>
      </c>
      <c r="K11" s="16">
        <f t="shared" si="2"/>
        <v>241.4</v>
      </c>
      <c r="L11">
        <v>1</v>
      </c>
      <c r="M11" s="16">
        <f t="shared" si="3"/>
        <v>71</v>
      </c>
      <c r="N11">
        <v>0.7</v>
      </c>
      <c r="O11" s="16">
        <f t="shared" si="4"/>
        <v>49.699999999999996</v>
      </c>
      <c r="P11">
        <v>291</v>
      </c>
      <c r="Q11" s="16">
        <f>(I11+K11)*(28/100)*(41.6/100)</f>
        <v>650.02828800000009</v>
      </c>
      <c r="R11" s="28">
        <f>(I11+K11)*(69.7/100)</f>
        <v>3889.6781999999998</v>
      </c>
      <c r="S11" s="3">
        <f>R11*(0.047/100)</f>
        <v>1.8281487539999999</v>
      </c>
      <c r="T11" s="3">
        <f>(I11+K11)*(28/100)*(24/100)</f>
        <v>375.01632000000001</v>
      </c>
      <c r="U11" s="3">
        <v>85.8</v>
      </c>
      <c r="V11" s="3">
        <f>(I11+K11)*(28/100)*(2.43/100)</f>
        <v>37.970402400000005</v>
      </c>
      <c r="W11">
        <v>41.7</v>
      </c>
      <c r="X11">
        <f>(55.6/(55.6+9.31+23.4))*100</f>
        <v>62.960027176990152</v>
      </c>
      <c r="Y11">
        <f>(9.31/(55.6+9.31+23.4))*100</f>
        <v>10.542407428377308</v>
      </c>
      <c r="Z11">
        <f>(23.4/(55.6+9.31+23.4))*100</f>
        <v>26.497565394632545</v>
      </c>
      <c r="AA11">
        <f>0.049+0.025</f>
        <v>7.400000000000001E-2</v>
      </c>
      <c r="AB11">
        <f>12.6+9.58</f>
        <v>22.18</v>
      </c>
      <c r="AC11">
        <f>3.34+55.7</f>
        <v>59.040000000000006</v>
      </c>
      <c r="AD11">
        <f>24.9+0.049</f>
        <v>24.948999999999998</v>
      </c>
      <c r="AE11">
        <f>62+12.6</f>
        <v>74.599999999999994</v>
      </c>
      <c r="AF11">
        <f>2.17+3.34</f>
        <v>5.51</v>
      </c>
      <c r="AG11">
        <f>(I11+K11)*(28/100)*(28.5/100)*(11.8/100)*(1.49/100)</f>
        <v>0.78298251141599995</v>
      </c>
      <c r="AI11">
        <f>I11*(71.5/100)*(69.6/100)</f>
        <v>2656.9994879999995</v>
      </c>
      <c r="AJ11">
        <f>I11*(71.5/100)*(19.7/100)</f>
        <v>752.05301599999984</v>
      </c>
      <c r="AK11">
        <f t="shared" ref="AK11:AK13" si="8">AI11/AJ11</f>
        <v>3.532994923857868</v>
      </c>
      <c r="AL11">
        <v>87.6</v>
      </c>
      <c r="AM11">
        <v>7.08</v>
      </c>
      <c r="AN11">
        <v>0.99</v>
      </c>
      <c r="AO11">
        <v>82</v>
      </c>
      <c r="AP11">
        <v>4.2300000000000004</v>
      </c>
      <c r="AQ11">
        <v>9.0500000000000007</v>
      </c>
      <c r="AR11">
        <v>0.23</v>
      </c>
      <c r="AS11">
        <v>1.06</v>
      </c>
      <c r="AT11">
        <v>9.1999999999999998E-2</v>
      </c>
      <c r="AU11">
        <v>0.7</v>
      </c>
      <c r="AV11">
        <v>4.58</v>
      </c>
      <c r="AW11">
        <v>0.68</v>
      </c>
      <c r="AX11" s="5">
        <v>0.7</v>
      </c>
      <c r="AY11" s="5">
        <v>14.2</v>
      </c>
      <c r="AZ11" s="5">
        <v>1.27</v>
      </c>
      <c r="BA11" s="3">
        <v>0.2</v>
      </c>
      <c r="BB11" s="3">
        <v>0.15</v>
      </c>
      <c r="BC11" s="3">
        <v>0.35</v>
      </c>
      <c r="BD11" s="3">
        <v>1.0900000000000001</v>
      </c>
      <c r="BE11" s="3">
        <v>1.0900000000000001</v>
      </c>
      <c r="BF11" s="3">
        <v>2.76</v>
      </c>
      <c r="BG11" s="3">
        <v>7.2</v>
      </c>
      <c r="BH11" s="3">
        <v>2.4E-2</v>
      </c>
      <c r="BI11" s="3">
        <v>1.82</v>
      </c>
    </row>
    <row r="12" spans="1:61" x14ac:dyDescent="0.2">
      <c r="A12" s="1">
        <v>43693</v>
      </c>
      <c r="B12" s="2">
        <f>B4+7*14</f>
        <v>112</v>
      </c>
      <c r="C12">
        <f t="shared" si="6"/>
        <v>16</v>
      </c>
      <c r="D12" t="s">
        <v>80</v>
      </c>
      <c r="E12">
        <v>7700</v>
      </c>
      <c r="F12">
        <v>24.5</v>
      </c>
      <c r="G12" s="16">
        <f t="shared" si="0"/>
        <v>1886.5</v>
      </c>
      <c r="H12">
        <v>71.900000000000006</v>
      </c>
      <c r="I12" s="16">
        <f t="shared" si="1"/>
        <v>5536.3000000000011</v>
      </c>
      <c r="J12">
        <v>2.4</v>
      </c>
      <c r="K12" s="16">
        <f t="shared" si="2"/>
        <v>184.8</v>
      </c>
      <c r="L12">
        <v>0.5</v>
      </c>
      <c r="M12" s="16">
        <f t="shared" si="3"/>
        <v>38.5</v>
      </c>
      <c r="N12">
        <v>0.7</v>
      </c>
      <c r="O12" s="16">
        <f t="shared" si="4"/>
        <v>53.899999999999991</v>
      </c>
      <c r="P12">
        <v>464</v>
      </c>
      <c r="Q12" s="16">
        <f>(I12+K12)*(30.9/100)*(52.6/100)</f>
        <v>929.87326740000026</v>
      </c>
      <c r="R12" s="28">
        <f>(I12+K12)*(67.2/100)</f>
        <v>3844.579200000001</v>
      </c>
      <c r="S12" s="3">
        <f>R12*(0.034/100)</f>
        <v>1.3071569280000004</v>
      </c>
      <c r="T12" s="3">
        <f>(I12+K12)*(30.9/100)*(17.4/100)</f>
        <v>307.60066260000008</v>
      </c>
      <c r="U12" s="3">
        <v>85.2</v>
      </c>
      <c r="V12" s="3">
        <f>(I12+K12)*(30.9/100)*(1.71/100)</f>
        <v>30.229720290000007</v>
      </c>
      <c r="W12">
        <v>42.3</v>
      </c>
      <c r="X12">
        <f>(60.9/(60.9+10.3+17.4))*100</f>
        <v>68.735891647855524</v>
      </c>
      <c r="Y12">
        <f>(10.3/(60.9+10.3+17.4))*100</f>
        <v>11.625282167042892</v>
      </c>
      <c r="Z12">
        <f>(17.4/(60.9+10.3+17.4))*100</f>
        <v>19.638826185101578</v>
      </c>
      <c r="AA12">
        <f>0.043+0.019</f>
        <v>6.2E-2</v>
      </c>
      <c r="AB12">
        <f>14.3+6.7</f>
        <v>21</v>
      </c>
      <c r="AC12">
        <f>2.99+76.1</f>
        <v>79.089999999999989</v>
      </c>
      <c r="AD12">
        <f>31+0.043</f>
        <v>31.042999999999999</v>
      </c>
      <c r="AE12">
        <f>14.3+68.7</f>
        <v>83</v>
      </c>
      <c r="AF12">
        <f>1.41+2.99</f>
        <v>4.4000000000000004</v>
      </c>
      <c r="AG12">
        <f>(I12+K12)*(30.9/100)*(26.8/100)*(11.4/100)*(1.56/100)</f>
        <v>0.84256276392288032</v>
      </c>
      <c r="AI12">
        <f>I12*(69.9/100)*(70.5/100)</f>
        <v>2728.2609585000005</v>
      </c>
      <c r="AJ12">
        <f>I12*(69.9/100)*(19.5/100)</f>
        <v>754.62537150000026</v>
      </c>
      <c r="AK12">
        <f t="shared" si="8"/>
        <v>3.615384615384615</v>
      </c>
      <c r="AL12">
        <v>85.8</v>
      </c>
      <c r="AM12">
        <v>8.6300000000000008</v>
      </c>
      <c r="AN12">
        <v>0.54</v>
      </c>
      <c r="AO12">
        <v>80.900000000000006</v>
      </c>
      <c r="AP12">
        <v>5.3</v>
      </c>
      <c r="AQ12">
        <v>7.82</v>
      </c>
      <c r="AR12">
        <v>0.24</v>
      </c>
      <c r="AS12">
        <v>2.96</v>
      </c>
      <c r="AT12">
        <v>0.11</v>
      </c>
      <c r="AU12">
        <v>1.01</v>
      </c>
      <c r="AV12">
        <v>9.19</v>
      </c>
      <c r="AW12">
        <v>2.27</v>
      </c>
      <c r="AX12" s="5">
        <v>1.28</v>
      </c>
      <c r="AY12" s="5">
        <v>31.2</v>
      </c>
      <c r="AZ12" s="5">
        <v>5.44</v>
      </c>
      <c r="BA12" s="3">
        <v>0.25</v>
      </c>
      <c r="BB12" s="3">
        <v>0.56000000000000005</v>
      </c>
      <c r="BC12" s="3">
        <v>0.21</v>
      </c>
      <c r="BD12" s="3">
        <v>0.95</v>
      </c>
      <c r="BE12" s="3">
        <v>2.13</v>
      </c>
      <c r="BF12" s="3">
        <v>4.0599999999999996</v>
      </c>
      <c r="BG12" s="3">
        <v>8.8000000000000007</v>
      </c>
      <c r="BH12" s="3">
        <v>0.13</v>
      </c>
      <c r="BI12" s="3">
        <v>2.86</v>
      </c>
    </row>
    <row r="13" spans="1:61" x14ac:dyDescent="0.2">
      <c r="A13" s="1">
        <v>43697</v>
      </c>
      <c r="B13" s="2">
        <f>B12+4</f>
        <v>116</v>
      </c>
      <c r="C13">
        <f t="shared" si="6"/>
        <v>16.571428571428573</v>
      </c>
      <c r="D13" t="s">
        <v>29</v>
      </c>
      <c r="E13">
        <v>7500</v>
      </c>
      <c r="F13">
        <v>26.3</v>
      </c>
      <c r="G13" s="16">
        <f t="shared" si="0"/>
        <v>1972.5</v>
      </c>
      <c r="H13">
        <v>70.400000000000006</v>
      </c>
      <c r="I13" s="16">
        <f t="shared" si="1"/>
        <v>5280.0000000000009</v>
      </c>
      <c r="J13">
        <v>2.1</v>
      </c>
      <c r="K13" s="16">
        <f t="shared" si="2"/>
        <v>157.5</v>
      </c>
      <c r="L13">
        <v>0.6</v>
      </c>
      <c r="M13" s="16">
        <f t="shared" si="3"/>
        <v>45</v>
      </c>
      <c r="N13">
        <v>0.6</v>
      </c>
      <c r="O13" s="16">
        <f t="shared" si="4"/>
        <v>45</v>
      </c>
      <c r="P13">
        <v>419</v>
      </c>
      <c r="Q13" s="16">
        <f>(I13+K13)*(29.6/100)*(48.3/100)</f>
        <v>777.38850000000025</v>
      </c>
      <c r="R13" s="28">
        <f>(I13+K13)*(67.7/100)</f>
        <v>3681.1875000000009</v>
      </c>
      <c r="S13" s="3">
        <f>R13*(0.046/100)</f>
        <v>1.6933462500000005</v>
      </c>
      <c r="T13" s="3">
        <f>(I13+K13)*(29.6/100)*(27.1/100)</f>
        <v>436.17450000000014</v>
      </c>
      <c r="U13" s="3">
        <v>86.3</v>
      </c>
      <c r="V13" s="3">
        <f>(I13+K13)*(29.6/100)*(1.62/100)</f>
        <v>26.073900000000013</v>
      </c>
      <c r="W13">
        <v>45.5</v>
      </c>
      <c r="X13">
        <f>(61.1/(61.1+4.28+21.6))*100</f>
        <v>70.246033570935865</v>
      </c>
      <c r="Y13">
        <f>(4.28/(61.1+4.28+21.6))*100</f>
        <v>4.9206714187169469</v>
      </c>
      <c r="Z13">
        <f>(21.6/(61.1+4.28+21.6))*100</f>
        <v>24.833295010347211</v>
      </c>
      <c r="AA13">
        <f>0.011+0.055</f>
        <v>6.6000000000000003E-2</v>
      </c>
      <c r="AB13">
        <f>7.67+6.1</f>
        <v>13.77</v>
      </c>
      <c r="AC13">
        <f>0.62+49.7</f>
        <v>50.32</v>
      </c>
      <c r="AD13">
        <f>22.7+0.011</f>
        <v>22.710999999999999</v>
      </c>
      <c r="AE13">
        <f>68.7+7.67</f>
        <v>76.37</v>
      </c>
      <c r="AF13">
        <f>0.99+0.62</f>
        <v>1.6099999999999999</v>
      </c>
      <c r="AG13">
        <f>(I13+K13)*(29.6/100)*(21.3/100)*(13/100)*(0.93/100)</f>
        <v>0.41447361150000012</v>
      </c>
      <c r="AI13">
        <f>I13*(71.2/100)*(73.5/100)</f>
        <v>2763.1296000000007</v>
      </c>
      <c r="AJ13">
        <f>I13*(71.2/100)*(17/100)</f>
        <v>639.09120000000019</v>
      </c>
      <c r="AK13">
        <f t="shared" si="8"/>
        <v>4.3235294117647056</v>
      </c>
      <c r="AL13">
        <v>83.9</v>
      </c>
      <c r="AM13">
        <v>8.09</v>
      </c>
      <c r="AN13">
        <v>1.46</v>
      </c>
      <c r="AO13">
        <v>80.3</v>
      </c>
      <c r="AP13">
        <v>5.26</v>
      </c>
      <c r="AQ13">
        <v>6.88</v>
      </c>
      <c r="AR13">
        <v>0.18</v>
      </c>
      <c r="AS13">
        <v>1.73</v>
      </c>
      <c r="AT13">
        <v>0.23</v>
      </c>
      <c r="AU13">
        <v>1.53</v>
      </c>
      <c r="AV13">
        <v>5.61</v>
      </c>
      <c r="AW13">
        <v>1.22</v>
      </c>
      <c r="AX13" s="5">
        <v>1.5</v>
      </c>
      <c r="AY13" s="5">
        <v>14.5</v>
      </c>
      <c r="AZ13" s="5">
        <v>0.81</v>
      </c>
      <c r="BA13" s="3">
        <v>0.23</v>
      </c>
      <c r="BB13" s="3">
        <v>0.45</v>
      </c>
      <c r="BC13" s="3">
        <v>0.43</v>
      </c>
      <c r="BD13" s="3">
        <v>1.64</v>
      </c>
      <c r="BE13" s="3">
        <v>0.52</v>
      </c>
      <c r="BF13" s="3">
        <v>2.31</v>
      </c>
      <c r="BG13" s="3">
        <v>6.1</v>
      </c>
      <c r="BH13" s="3">
        <v>0.46</v>
      </c>
      <c r="BI13" s="3">
        <v>1.94</v>
      </c>
    </row>
    <row r="14" spans="1:61" x14ac:dyDescent="0.2">
      <c r="A14" s="1">
        <v>43703</v>
      </c>
      <c r="B14" s="2">
        <f>B12+10</f>
        <v>122</v>
      </c>
      <c r="C14">
        <f t="shared" si="6"/>
        <v>17.428571428571427</v>
      </c>
      <c r="D14" t="s">
        <v>30</v>
      </c>
      <c r="E14">
        <v>3400</v>
      </c>
      <c r="F14">
        <v>20.5</v>
      </c>
      <c r="G14" s="16">
        <f t="shared" si="0"/>
        <v>697</v>
      </c>
      <c r="H14">
        <v>74.400000000000006</v>
      </c>
      <c r="I14" s="16">
        <f t="shared" si="1"/>
        <v>2529.6000000000004</v>
      </c>
      <c r="J14">
        <v>4.2</v>
      </c>
      <c r="K14" s="16">
        <f t="shared" si="2"/>
        <v>142.80000000000001</v>
      </c>
      <c r="L14">
        <v>0.3</v>
      </c>
      <c r="M14" s="16">
        <f t="shared" si="3"/>
        <v>10.200000000000001</v>
      </c>
      <c r="N14">
        <v>0.6</v>
      </c>
      <c r="O14" s="16">
        <f t="shared" si="4"/>
        <v>20.400000000000002</v>
      </c>
      <c r="P14">
        <v>307</v>
      </c>
      <c r="Q14" s="16">
        <f>(I14+K14)*(20.8/100)*(54.5/100)</f>
        <v>302.94326400000011</v>
      </c>
      <c r="R14" s="28">
        <f>(I14+K14)*(77/100)</f>
        <v>2057.7480000000005</v>
      </c>
      <c r="S14" s="3">
        <f>R14*(0.015/100)</f>
        <v>0.30866220000000005</v>
      </c>
      <c r="T14" s="3">
        <f>(I14+K14)*(20.8/100)*(9.34/100)</f>
        <v>51.917249280000021</v>
      </c>
      <c r="U14" s="3">
        <v>83.4</v>
      </c>
      <c r="V14" s="3">
        <f>(I14+K14)*(20.8/100)*(2.96/100)</f>
        <v>16.453432320000008</v>
      </c>
      <c r="W14">
        <v>60.7</v>
      </c>
      <c r="X14">
        <f>(32.5/(32.5+17.1+23.6))*100</f>
        <v>44.398907103825138</v>
      </c>
      <c r="Y14">
        <f>(17.1/(32.5+17.1+23.6))*100</f>
        <v>23.360655737704921</v>
      </c>
      <c r="Z14">
        <f>(23.6/(32.5+17.1+23.6))*100</f>
        <v>32.240437158469945</v>
      </c>
      <c r="AA14">
        <f>0.13+0.025</f>
        <v>0.155</v>
      </c>
      <c r="AB14">
        <f>31.5+0.67</f>
        <v>32.17</v>
      </c>
      <c r="AC14">
        <f>46.5+45.3</f>
        <v>91.8</v>
      </c>
      <c r="AD14">
        <f>44.3+0.13</f>
        <v>44.43</v>
      </c>
      <c r="AE14">
        <f>64.7+31.5</f>
        <v>96.2</v>
      </c>
      <c r="AF14">
        <f>46.5+5.92</f>
        <v>52.42</v>
      </c>
      <c r="AG14">
        <f>(I14+K14)*(20.8/100)*(31.1/100)*(26.8/100)*(1.71/100)</f>
        <v>0.79223876948736038</v>
      </c>
      <c r="AI14">
        <f>I14*(81.1/100)*(74.3/100)</f>
        <v>1524.2686607999999</v>
      </c>
      <c r="AJ14">
        <f>I14*(81.1/100)*(13.9/100)</f>
        <v>285.15927840000001</v>
      </c>
      <c r="AK14">
        <f>AI14/AJ14</f>
        <v>5.3453237410071939</v>
      </c>
      <c r="AL14">
        <v>79</v>
      </c>
      <c r="AM14">
        <v>5.77</v>
      </c>
      <c r="AN14">
        <v>2</v>
      </c>
      <c r="AO14">
        <v>65.7</v>
      </c>
      <c r="AP14">
        <v>10.6</v>
      </c>
      <c r="AQ14">
        <v>9.58</v>
      </c>
      <c r="AR14">
        <v>0.61</v>
      </c>
      <c r="AS14">
        <v>2.6</v>
      </c>
      <c r="AT14">
        <v>6.9000000000000006E-2</v>
      </c>
      <c r="AU14">
        <v>1.25</v>
      </c>
      <c r="AV14">
        <v>3.66</v>
      </c>
      <c r="AW14">
        <v>1.05</v>
      </c>
      <c r="AX14" s="5">
        <v>2.75</v>
      </c>
      <c r="AY14" s="5">
        <v>22.5</v>
      </c>
      <c r="AZ14" s="5">
        <v>0.47</v>
      </c>
      <c r="BA14" s="3">
        <v>2.29</v>
      </c>
      <c r="BB14" s="3">
        <v>1.08</v>
      </c>
      <c r="BC14" s="3">
        <v>0.27</v>
      </c>
      <c r="BD14" s="3">
        <v>3.03</v>
      </c>
      <c r="BE14" s="3">
        <v>2.7</v>
      </c>
      <c r="BF14" s="3">
        <v>1.99</v>
      </c>
      <c r="BG14" s="3">
        <v>23.5</v>
      </c>
      <c r="BH14" s="3">
        <v>0.89</v>
      </c>
      <c r="BI14" s="3">
        <v>2.2000000000000002</v>
      </c>
    </row>
    <row r="15" spans="1:61" x14ac:dyDescent="0.2">
      <c r="A15" s="1">
        <v>43721</v>
      </c>
      <c r="B15" s="2">
        <f>B12+7*4</f>
        <v>140</v>
      </c>
      <c r="C15">
        <f t="shared" si="6"/>
        <v>20</v>
      </c>
      <c r="D15" t="s">
        <v>31</v>
      </c>
      <c r="E15">
        <v>7500</v>
      </c>
      <c r="F15">
        <v>25.9</v>
      </c>
      <c r="G15" s="16">
        <f t="shared" si="0"/>
        <v>1942.5</v>
      </c>
      <c r="H15">
        <v>70.7</v>
      </c>
      <c r="I15" s="16">
        <f t="shared" si="1"/>
        <v>5302.5000000000009</v>
      </c>
      <c r="J15">
        <v>2.2999999999999998</v>
      </c>
      <c r="K15" s="16">
        <f t="shared" si="2"/>
        <v>172.5</v>
      </c>
      <c r="L15">
        <v>0.4</v>
      </c>
      <c r="M15" s="16">
        <f t="shared" si="3"/>
        <v>30</v>
      </c>
      <c r="N15">
        <v>0.7</v>
      </c>
      <c r="O15" s="16">
        <f t="shared" si="4"/>
        <v>52.499999999999993</v>
      </c>
      <c r="P15">
        <v>662</v>
      </c>
      <c r="Q15" s="16">
        <f>(I15+K15)*(33.8/100)*(22.2/100)</f>
        <v>410.82210000000003</v>
      </c>
      <c r="R15" s="28">
        <f>(I15+K15)*(61.1/100)</f>
        <v>3345.2250000000004</v>
      </c>
      <c r="S15" s="3">
        <f>R15*(0.018/100)</f>
        <v>0.60214049999999997</v>
      </c>
      <c r="T15" s="3">
        <f>(I15+K15)*(33.8/100)*(31.1/100)</f>
        <v>575.52105000000006</v>
      </c>
      <c r="U15" s="3">
        <v>66.5</v>
      </c>
      <c r="V15" s="3">
        <f>(I15+K15)*(33.8/100)*(5.04/100)</f>
        <v>93.267720000000011</v>
      </c>
      <c r="W15">
        <v>40.5</v>
      </c>
      <c r="X15">
        <f>(57.1/(57.1+10.8+18.4))*100</f>
        <v>66.164542294322132</v>
      </c>
      <c r="Y15">
        <f>(10.8/(57.1+10.8+18.4))*100</f>
        <v>12.514484356894554</v>
      </c>
      <c r="Z15">
        <f>(18.4/(57.1+10.8+18.4))*100</f>
        <v>21.320973348783308</v>
      </c>
      <c r="AA15">
        <f>0.0092+0.0046</f>
        <v>1.38E-2</v>
      </c>
      <c r="AB15">
        <f>5.87+7.4</f>
        <v>13.27</v>
      </c>
      <c r="AC15">
        <f>4.33+47.6</f>
        <v>51.93</v>
      </c>
      <c r="AD15">
        <f>15.7+0.0092</f>
        <v>15.709199999999999</v>
      </c>
      <c r="AE15">
        <f>57.4+5.87</f>
        <v>63.269999999999996</v>
      </c>
      <c r="AF15">
        <f>3.89+4.33</f>
        <v>8.2200000000000006</v>
      </c>
      <c r="AG15">
        <f>(I15+K15)*(33.8/100)*(38.3/100)*(13.7/100)*(0.13/100)</f>
        <v>0.12623027176499996</v>
      </c>
      <c r="AI15">
        <f>I15*(67.1/100)*(58.4/100)</f>
        <v>2077.8588600000003</v>
      </c>
      <c r="AJ15">
        <f>I15*(67.1/100)*(28.2/100)</f>
        <v>1003.349655</v>
      </c>
      <c r="AK15">
        <f>AI15/AJ15</f>
        <v>2.0709219858156032</v>
      </c>
      <c r="AL15">
        <v>79.8</v>
      </c>
      <c r="AM15">
        <v>4.5</v>
      </c>
      <c r="AN15">
        <v>3.1</v>
      </c>
      <c r="AO15">
        <v>66.900000000000006</v>
      </c>
      <c r="AP15">
        <v>8.65</v>
      </c>
      <c r="AQ15">
        <v>9.58</v>
      </c>
      <c r="AR15">
        <v>0.24</v>
      </c>
      <c r="AS15">
        <v>1.81</v>
      </c>
      <c r="AT15">
        <v>7.9000000000000001E-2</v>
      </c>
      <c r="AU15">
        <v>0.87</v>
      </c>
      <c r="AV15">
        <v>8.07</v>
      </c>
      <c r="AW15">
        <v>2.81</v>
      </c>
      <c r="AX15" s="5">
        <v>0.98</v>
      </c>
      <c r="AY15" s="5">
        <v>10.9</v>
      </c>
      <c r="AZ15" s="5">
        <v>0.68</v>
      </c>
      <c r="BA15" s="3">
        <v>0.79</v>
      </c>
      <c r="BB15" s="3">
        <v>0.56000000000000005</v>
      </c>
      <c r="BC15" s="3">
        <v>0.99</v>
      </c>
      <c r="BD15" s="3">
        <v>2.2000000000000002</v>
      </c>
      <c r="BE15" s="3">
        <v>2.44</v>
      </c>
      <c r="BF15" s="3">
        <v>10.9</v>
      </c>
      <c r="BG15" s="3">
        <v>11.9</v>
      </c>
      <c r="BH15" s="3">
        <v>0.27</v>
      </c>
      <c r="BI15" s="3">
        <v>3.89</v>
      </c>
    </row>
    <row r="16" spans="1:61" x14ac:dyDescent="0.2">
      <c r="A16" s="1">
        <v>43735</v>
      </c>
      <c r="B16" s="2">
        <f>B12+7*6</f>
        <v>154</v>
      </c>
      <c r="C16">
        <f t="shared" si="6"/>
        <v>22</v>
      </c>
      <c r="D16" t="s">
        <v>81</v>
      </c>
      <c r="E16">
        <v>5300</v>
      </c>
      <c r="F16">
        <v>25.7</v>
      </c>
      <c r="G16" s="16">
        <f t="shared" si="0"/>
        <v>1362.1000000000001</v>
      </c>
      <c r="H16">
        <v>69.2</v>
      </c>
      <c r="I16" s="16">
        <f t="shared" si="1"/>
        <v>3667.6000000000004</v>
      </c>
      <c r="J16">
        <v>3.7</v>
      </c>
      <c r="K16" s="16">
        <f t="shared" si="2"/>
        <v>196.10000000000002</v>
      </c>
      <c r="L16">
        <v>0.9</v>
      </c>
      <c r="M16" s="16">
        <f t="shared" si="3"/>
        <v>47.7</v>
      </c>
      <c r="N16">
        <v>0.5</v>
      </c>
      <c r="O16" s="16">
        <f t="shared" si="4"/>
        <v>26.5</v>
      </c>
      <c r="P16">
        <v>371</v>
      </c>
      <c r="Q16" s="16">
        <f>(I16+K16)*(35.1/100)*(21.7/100)</f>
        <v>294.28643790000001</v>
      </c>
      <c r="R16" s="28">
        <f>(I16+K16)*(61/100)</f>
        <v>2356.857</v>
      </c>
      <c r="S16" s="3">
        <f>R16*(0.058/100)</f>
        <v>1.36697706</v>
      </c>
      <c r="T16" s="3">
        <f>(I16+K16)*(35.1/100)*(29.5/100)</f>
        <v>400.06681650000002</v>
      </c>
      <c r="U16" s="3">
        <v>79.099999999999994</v>
      </c>
      <c r="V16" s="3">
        <f>(I16+K16)*(35.1/100)*(5.5/100)</f>
        <v>74.588728500000016</v>
      </c>
      <c r="W16">
        <v>52.9</v>
      </c>
      <c r="X16">
        <f>(58.8/(58.8+12+18.4))*100</f>
        <v>65.919282511210767</v>
      </c>
      <c r="Y16">
        <f>(12/(58.8+12+18.4))*100</f>
        <v>13.452914798206281</v>
      </c>
      <c r="Z16">
        <f>(18.4/(58.8+12+18.4))*100</f>
        <v>20.627802690582961</v>
      </c>
      <c r="AA16">
        <f>0.021+0.00858</f>
        <v>2.9580000000000002E-2</v>
      </c>
      <c r="AB16">
        <f>14.8+3.12</f>
        <v>17.920000000000002</v>
      </c>
      <c r="AC16">
        <f>8.37+42.6</f>
        <v>50.97</v>
      </c>
      <c r="AD16">
        <f>36.9+0.021</f>
        <v>36.920999999999999</v>
      </c>
      <c r="AE16">
        <f>75.9+14.8</f>
        <v>90.7</v>
      </c>
      <c r="AF16">
        <f>8.37+4.51</f>
        <v>12.879999999999999</v>
      </c>
      <c r="AG16">
        <f>(I16+K16)*(35.1/100)*(41.4/100)*(10.8/100)*(0.89/100)</f>
        <v>0.53966545337016014</v>
      </c>
      <c r="AI16">
        <f>I16*(66.1/100)*(56.8/100)</f>
        <v>1376.9930847999997</v>
      </c>
      <c r="AJ16">
        <f>I16*(66.1/100)*(27.7/100)</f>
        <v>671.52655719999984</v>
      </c>
      <c r="AK16">
        <f>AI16/AJ16</f>
        <v>2.0505415162454872</v>
      </c>
      <c r="AL16">
        <v>77.2</v>
      </c>
      <c r="AM16">
        <v>4.57</v>
      </c>
      <c r="AN16">
        <v>3.92</v>
      </c>
      <c r="AO16">
        <v>63.2</v>
      </c>
      <c r="AP16">
        <v>6.57</v>
      </c>
      <c r="AQ16">
        <v>11.5</v>
      </c>
      <c r="AR16">
        <v>0.41</v>
      </c>
      <c r="AS16">
        <v>1.67</v>
      </c>
      <c r="AT16">
        <v>3.1E-2</v>
      </c>
      <c r="AU16">
        <v>2.94</v>
      </c>
      <c r="AV16">
        <v>7.83</v>
      </c>
      <c r="AW16">
        <v>0.96</v>
      </c>
      <c r="AX16" s="5">
        <v>0.99</v>
      </c>
      <c r="AY16" s="5">
        <v>10.1</v>
      </c>
      <c r="AZ16" s="5">
        <v>0.36</v>
      </c>
      <c r="BA16" s="3">
        <v>1.36</v>
      </c>
      <c r="BB16" s="3">
        <v>0.93</v>
      </c>
      <c r="BC16" s="3">
        <v>0.53</v>
      </c>
      <c r="BD16" s="3">
        <v>5.0999999999999996</v>
      </c>
      <c r="BE16" s="3">
        <v>3.82</v>
      </c>
      <c r="BF16" s="3">
        <v>8.5500000000000007</v>
      </c>
      <c r="BG16" s="3">
        <v>17.399999999999999</v>
      </c>
      <c r="BH16" s="3">
        <v>0.48</v>
      </c>
      <c r="BI16" s="3">
        <v>3.7</v>
      </c>
    </row>
    <row r="17" spans="1:61" x14ac:dyDescent="0.2">
      <c r="A17" s="1">
        <v>43749</v>
      </c>
      <c r="B17" s="2">
        <f>B12+7*8</f>
        <v>168</v>
      </c>
      <c r="C17">
        <f t="shared" si="6"/>
        <v>24</v>
      </c>
      <c r="D17" t="s">
        <v>82</v>
      </c>
      <c r="E17">
        <v>6200</v>
      </c>
      <c r="F17">
        <v>23.5</v>
      </c>
      <c r="G17" s="16">
        <f t="shared" si="0"/>
        <v>1457</v>
      </c>
      <c r="H17">
        <v>72.900000000000006</v>
      </c>
      <c r="I17" s="16">
        <f t="shared" si="1"/>
        <v>4519.8</v>
      </c>
      <c r="J17">
        <v>2.7</v>
      </c>
      <c r="K17" s="16">
        <f t="shared" si="2"/>
        <v>167.4</v>
      </c>
      <c r="L17">
        <v>0.4</v>
      </c>
      <c r="M17" s="16">
        <f t="shared" si="3"/>
        <v>24.8</v>
      </c>
      <c r="N17">
        <v>0.5</v>
      </c>
      <c r="O17" s="16">
        <f t="shared" si="4"/>
        <v>31</v>
      </c>
      <c r="P17">
        <v>283</v>
      </c>
      <c r="Q17" s="16">
        <f>(I17+K17)*(36.1/100)*(25.3/100)</f>
        <v>428.09603759999999</v>
      </c>
      <c r="R17" s="28">
        <f>(I17+K17)*(60.2/100)</f>
        <v>2821.6943999999999</v>
      </c>
      <c r="S17" s="3">
        <f>R17*(0.018/100)</f>
        <v>0.50790499199999994</v>
      </c>
      <c r="T17" s="3">
        <f>(I17+K17)*(36.1/100)*(25.8/100)</f>
        <v>436.55643359999999</v>
      </c>
      <c r="U17" s="3">
        <v>84.8</v>
      </c>
      <c r="V17" s="3">
        <f>(I17+K17)*(36.1/100)*(6.24/100)</f>
        <v>105.58574208</v>
      </c>
      <c r="W17">
        <v>56.5</v>
      </c>
      <c r="X17">
        <f>(52.4/(52.4+15.4+22))*100</f>
        <v>58.351893095768368</v>
      </c>
      <c r="Y17">
        <f>(15.4/(52.4+15.4+22))*100</f>
        <v>17.149220489977729</v>
      </c>
      <c r="Z17">
        <f>(22/(52.4+15.4+22))*100</f>
        <v>24.498886414253899</v>
      </c>
      <c r="AA17">
        <f>0.13+0.026</f>
        <v>0.156</v>
      </c>
      <c r="AB17">
        <f>24.9+6.53</f>
        <v>31.43</v>
      </c>
      <c r="AC17">
        <f>9.41+65.9</f>
        <v>75.31</v>
      </c>
      <c r="AD17">
        <f>36.6+0.13</f>
        <v>36.730000000000004</v>
      </c>
      <c r="AE17">
        <f>62.6+24.9</f>
        <v>87.5</v>
      </c>
      <c r="AF17">
        <f>2.11+9.41</f>
        <v>11.52</v>
      </c>
      <c r="AG17">
        <f>(I17+K17)*(36.1/100)*(41/100)*(10.3/100)*(0.48/100)</f>
        <v>0.34299122215679995</v>
      </c>
      <c r="AI17">
        <f>I17*(66/100)*(52/100)</f>
        <v>1551.1953600000002</v>
      </c>
      <c r="AJ17">
        <f>I17*(66/100)*(32.1/100)</f>
        <v>957.56482800000003</v>
      </c>
      <c r="AK17">
        <f>AI17/AJ17</f>
        <v>1.61993769470405</v>
      </c>
      <c r="AL17">
        <v>81.8</v>
      </c>
      <c r="AM17">
        <v>4.42</v>
      </c>
      <c r="AN17">
        <v>3.2</v>
      </c>
      <c r="AO17">
        <v>61.7</v>
      </c>
      <c r="AP17">
        <v>8.4</v>
      </c>
      <c r="AQ17">
        <v>15.5</v>
      </c>
      <c r="AR17">
        <v>0.28000000000000003</v>
      </c>
      <c r="AS17">
        <v>1.3</v>
      </c>
      <c r="AT17">
        <v>6.6000000000000003E-2</v>
      </c>
      <c r="AU17">
        <v>0.62</v>
      </c>
      <c r="AV17">
        <v>6.63</v>
      </c>
      <c r="AW17">
        <v>0.65</v>
      </c>
      <c r="AX17" s="5">
        <v>0.78</v>
      </c>
      <c r="AY17" s="5">
        <v>10.3</v>
      </c>
      <c r="AZ17" s="5">
        <v>0.47</v>
      </c>
      <c r="BA17" s="3">
        <v>1.1299999999999999</v>
      </c>
      <c r="BB17" s="3">
        <v>0.83</v>
      </c>
      <c r="BC17" s="3">
        <v>0.35</v>
      </c>
      <c r="BD17" s="3">
        <v>1.23</v>
      </c>
      <c r="BE17" s="3">
        <v>3.02</v>
      </c>
      <c r="BF17" s="3">
        <v>7.88</v>
      </c>
      <c r="BG17" s="3">
        <v>10.5</v>
      </c>
      <c r="BH17" s="3">
        <v>0.45</v>
      </c>
      <c r="BI17" s="3">
        <v>3.15</v>
      </c>
    </row>
    <row r="18" spans="1:61" x14ac:dyDescent="0.2">
      <c r="A18" s="1">
        <v>43761</v>
      </c>
      <c r="B18" s="2">
        <f>B12+7*10-2</f>
        <v>180</v>
      </c>
      <c r="C18">
        <f t="shared" si="6"/>
        <v>25.714285714285715</v>
      </c>
      <c r="D18" t="s">
        <v>83</v>
      </c>
      <c r="E18">
        <v>4900</v>
      </c>
      <c r="F18">
        <v>24.4</v>
      </c>
      <c r="G18" s="16">
        <f t="shared" si="0"/>
        <v>1195.5999999999999</v>
      </c>
      <c r="H18">
        <v>68.2</v>
      </c>
      <c r="I18" s="16">
        <f t="shared" si="1"/>
        <v>3341.8</v>
      </c>
      <c r="J18">
        <v>5.9</v>
      </c>
      <c r="K18" s="16">
        <f t="shared" si="2"/>
        <v>289.10000000000002</v>
      </c>
      <c r="L18">
        <v>0.9</v>
      </c>
      <c r="M18" s="16">
        <f t="shared" si="3"/>
        <v>44.100000000000009</v>
      </c>
      <c r="N18">
        <v>0.6</v>
      </c>
      <c r="O18" s="16">
        <f t="shared" si="4"/>
        <v>29.400000000000002</v>
      </c>
      <c r="P18">
        <v>232</v>
      </c>
      <c r="Q18" s="16">
        <f>(I18+K18)*(29.8/100)*(44/100)</f>
        <v>476.08360799999997</v>
      </c>
      <c r="R18" s="28">
        <f>(I18+K18)*(67.4/100)</f>
        <v>2447.2266000000004</v>
      </c>
      <c r="S18" s="3">
        <f>R18*(0.015/100)</f>
        <v>0.36708399000000003</v>
      </c>
      <c r="T18" s="3">
        <f>(I18+K18)*(29.8/100)*(7.08/100)</f>
        <v>76.606180559999999</v>
      </c>
      <c r="U18" s="3">
        <v>75.900000000000006</v>
      </c>
      <c r="V18" s="3">
        <f>(I18+K18)*(29.8/100)*(2.71/100)</f>
        <v>29.32242222</v>
      </c>
      <c r="W18">
        <v>42.2</v>
      </c>
      <c r="X18">
        <f>(61.2/(61.2+12+12))*100</f>
        <v>71.83098591549296</v>
      </c>
      <c r="Y18">
        <f>(12/(61.2+12+12))*100</f>
        <v>14.084507042253522</v>
      </c>
      <c r="Z18">
        <f>(12/(61.2+12+12))*100</f>
        <v>14.084507042253522</v>
      </c>
      <c r="AA18">
        <f>0.07+0.00633</f>
        <v>7.6330000000000009E-2</v>
      </c>
      <c r="AB18">
        <f>16+2.32</f>
        <v>18.32</v>
      </c>
      <c r="AC18">
        <f>15.8+50.8</f>
        <v>66.599999999999994</v>
      </c>
      <c r="AD18">
        <f>56.3+0.07</f>
        <v>56.37</v>
      </c>
      <c r="AE18">
        <f>78.3+16</f>
        <v>94.3</v>
      </c>
      <c r="AF18">
        <f>6.9+15.8</f>
        <v>22.700000000000003</v>
      </c>
      <c r="AG18">
        <f>(I18+K18)*(29.8/100)*(45/100)*(14.7/100)*(0.87/100)</f>
        <v>0.62270112914099984</v>
      </c>
      <c r="AI18">
        <f>I18*(76.7/100)*(51.2/100)</f>
        <v>1312.3382272000001</v>
      </c>
      <c r="AJ18">
        <f>I18*(76.7/100)*(32.3/100)</f>
        <v>827.90087379999989</v>
      </c>
      <c r="AK18">
        <f>AI18/AJ18</f>
        <v>1.5851393188854492</v>
      </c>
      <c r="AL18">
        <v>81.599999999999994</v>
      </c>
      <c r="AM18">
        <v>4.3499999999999996</v>
      </c>
      <c r="AN18">
        <v>2.98</v>
      </c>
      <c r="AO18">
        <v>66.2</v>
      </c>
      <c r="AP18">
        <v>6.45</v>
      </c>
      <c r="AQ18">
        <v>10.5</v>
      </c>
      <c r="AR18">
        <v>0.4</v>
      </c>
      <c r="AS18">
        <v>0.75</v>
      </c>
      <c r="AT18">
        <v>1.4999999999999999E-2</v>
      </c>
      <c r="AU18">
        <v>1.36</v>
      </c>
      <c r="AV18">
        <v>3.83</v>
      </c>
      <c r="AW18">
        <v>0.75</v>
      </c>
      <c r="AX18" s="5">
        <v>1.68</v>
      </c>
      <c r="AY18" s="5">
        <v>5.92</v>
      </c>
      <c r="AZ18" s="5">
        <v>0.26</v>
      </c>
      <c r="BA18" s="3">
        <v>0.94</v>
      </c>
      <c r="BB18" s="3">
        <v>0.47</v>
      </c>
      <c r="BC18" s="3">
        <v>0.3</v>
      </c>
      <c r="BD18" s="3">
        <v>3.71</v>
      </c>
      <c r="BE18" s="3">
        <v>1.49</v>
      </c>
      <c r="BF18" s="3">
        <v>5.01</v>
      </c>
      <c r="BG18" s="3">
        <v>11.2</v>
      </c>
      <c r="BH18" s="3">
        <v>0.21</v>
      </c>
      <c r="BI18" s="3">
        <v>3.38</v>
      </c>
    </row>
    <row r="22" spans="1:61" x14ac:dyDescent="0.2">
      <c r="A22" s="5" t="s">
        <v>38</v>
      </c>
    </row>
    <row r="23" spans="1:61" x14ac:dyDescent="0.2">
      <c r="A23" s="4" t="s">
        <v>39</v>
      </c>
    </row>
    <row r="24" spans="1:61" x14ac:dyDescent="0.2">
      <c r="A24" s="17" t="s">
        <v>77</v>
      </c>
    </row>
    <row r="26" spans="1:61" x14ac:dyDescent="0.2">
      <c r="A26" t="s">
        <v>84</v>
      </c>
    </row>
  </sheetData>
  <mergeCells count="10">
    <mergeCell ref="E1:P2"/>
    <mergeCell ref="Q1:AH2"/>
    <mergeCell ref="AI1:AQ2"/>
    <mergeCell ref="AR1:BI1"/>
    <mergeCell ref="AR2:AT2"/>
    <mergeCell ref="AU2:AW2"/>
    <mergeCell ref="AX2:AZ2"/>
    <mergeCell ref="BA2:BC2"/>
    <mergeCell ref="BD2:BF2"/>
    <mergeCell ref="BG2:B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8364-1BD0-C54A-8E27-624349AE75A9}">
  <sheetPr>
    <tabColor rgb="FF0070C0"/>
  </sheetPr>
  <dimension ref="A1:BI27"/>
  <sheetViews>
    <sheetView workbookViewId="0">
      <pane xSplit="4" ySplit="2" topLeftCell="AQ3" activePane="bottomRight" state="frozen"/>
      <selection activeCell="AB9" sqref="AB9"/>
      <selection pane="topRight" activeCell="AB9" sqref="AB9"/>
      <selection pane="bottomLeft" activeCell="AB9" sqref="AB9"/>
      <selection pane="bottomRight" activeCell="BH30" sqref="BH30"/>
    </sheetView>
  </sheetViews>
  <sheetFormatPr baseColWidth="10" defaultColWidth="11" defaultRowHeight="16" x14ac:dyDescent="0.2"/>
  <cols>
    <col min="1" max="1" width="9.5" customWidth="1"/>
    <col min="2" max="2" width="9.83203125" style="2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18" width="11" bestFit="1" customWidth="1"/>
    <col min="19" max="19" width="12.1640625" bestFit="1" customWidth="1"/>
    <col min="20" max="20" width="16.6640625" bestFit="1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38395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x14ac:dyDescent="0.2">
      <c r="A4" s="1">
        <v>43595</v>
      </c>
      <c r="B4" s="2">
        <v>13</v>
      </c>
      <c r="C4">
        <f>B4/7</f>
        <v>1.8571428571428572</v>
      </c>
      <c r="D4" t="s">
        <v>24</v>
      </c>
      <c r="E4">
        <v>11900</v>
      </c>
      <c r="F4">
        <v>65.599999999999994</v>
      </c>
      <c r="G4" s="16">
        <f t="shared" ref="G4:G18" si="0">E4*(F4/100)</f>
        <v>7806.3999999999987</v>
      </c>
      <c r="H4">
        <v>28.1</v>
      </c>
      <c r="I4" s="16">
        <f t="shared" ref="I4:I18" si="1">E4*(H4/100)</f>
        <v>3343.9000000000005</v>
      </c>
      <c r="J4">
        <v>4.4000000000000004</v>
      </c>
      <c r="K4" s="16">
        <f t="shared" ref="K4:K18" si="2">E4*(J4/100)</f>
        <v>523.6</v>
      </c>
      <c r="L4">
        <v>1</v>
      </c>
      <c r="M4" s="16">
        <f t="shared" ref="M4:M18" si="3">E4*(L4/100)</f>
        <v>119</v>
      </c>
      <c r="N4">
        <v>0.9</v>
      </c>
      <c r="O4" s="16">
        <f t="shared" ref="O4:O18" si="4">E4*(N4/100)</f>
        <v>107.10000000000001</v>
      </c>
      <c r="P4">
        <v>627</v>
      </c>
      <c r="Q4" s="16">
        <f>(I4+K4)*(30/100)*(26.6/100)</f>
        <v>308.62650000000002</v>
      </c>
      <c r="R4" s="28">
        <f>(I4+K4)*(67.9/100)</f>
        <v>2626.0325000000007</v>
      </c>
      <c r="S4" s="3">
        <f>R4*(0.069/100)</f>
        <v>1.8119624250000006</v>
      </c>
      <c r="T4" s="3">
        <f>(I4+K4)*(30/100)*(7.42/100)</f>
        <v>86.090550000000007</v>
      </c>
      <c r="U4" s="3">
        <v>88.6</v>
      </c>
      <c r="V4" s="3">
        <f>(I4+K4)*(30/100)*(0.76/100)</f>
        <v>8.8178999999999998</v>
      </c>
      <c r="W4">
        <v>38.799999999999997</v>
      </c>
      <c r="X4">
        <f>(68.4/(68.4+21.5+4.61))*100</f>
        <v>72.373293831340604</v>
      </c>
      <c r="Y4">
        <f>(21.5/(68.4+21.5+4.61))*100</f>
        <v>22.748915458681619</v>
      </c>
      <c r="Z4">
        <f>(4.61/(68.4+21.5+4.61))*100</f>
        <v>4.8777907099777797</v>
      </c>
      <c r="AA4">
        <f>0.45+0.00678</f>
        <v>0.45678000000000002</v>
      </c>
      <c r="AB4">
        <f>19.5+0.065</f>
        <v>19.565000000000001</v>
      </c>
      <c r="AC4">
        <f>35.9+31.1</f>
        <v>67</v>
      </c>
      <c r="AD4">
        <f>83.8+0.45</f>
        <v>84.25</v>
      </c>
      <c r="AE4">
        <f>80.3+19.5</f>
        <v>99.8</v>
      </c>
      <c r="AF4">
        <f>14.6+35.9</f>
        <v>50.5</v>
      </c>
      <c r="AG4">
        <f>(I4+K4)*(30/100)*(63.9/100)*(5.5/100)*(5.31/100)</f>
        <v>2.1652579698749999</v>
      </c>
      <c r="AI4">
        <f>I4*(73/100)*(77.4/100)</f>
        <v>1889.3703780000005</v>
      </c>
      <c r="AJ4">
        <f>I4*(73/100)*(12.3/100)</f>
        <v>300.24878100000006</v>
      </c>
      <c r="AK4">
        <f t="shared" ref="AK4:AK9" si="5">AI4/AJ4</f>
        <v>6.2926829268292686</v>
      </c>
      <c r="AL4">
        <v>86.5</v>
      </c>
      <c r="AM4">
        <v>10.1</v>
      </c>
      <c r="AN4" s="14">
        <v>7.0000000000000007E-2</v>
      </c>
      <c r="AO4">
        <v>69.3</v>
      </c>
      <c r="AP4">
        <v>5.8</v>
      </c>
      <c r="AQ4">
        <v>10.6</v>
      </c>
      <c r="AR4">
        <v>0.16</v>
      </c>
      <c r="AS4">
        <v>2.84</v>
      </c>
      <c r="AT4">
        <v>3.4000000000000002E-2</v>
      </c>
      <c r="AU4">
        <v>1.94</v>
      </c>
      <c r="AV4">
        <v>15.1</v>
      </c>
      <c r="AW4">
        <v>0.62</v>
      </c>
      <c r="AX4" s="5">
        <v>0</v>
      </c>
      <c r="AY4" s="5">
        <v>46.7</v>
      </c>
      <c r="AZ4" s="5">
        <v>0</v>
      </c>
      <c r="BA4" s="3">
        <v>0.38</v>
      </c>
      <c r="BB4" s="3">
        <v>0.74</v>
      </c>
      <c r="BC4" s="3">
        <v>0.37</v>
      </c>
      <c r="BD4" s="3">
        <v>2.86</v>
      </c>
      <c r="BE4" s="3">
        <v>5.55</v>
      </c>
      <c r="BF4" s="3">
        <v>2.1800000000000002</v>
      </c>
      <c r="BG4" s="3">
        <v>40.4</v>
      </c>
      <c r="BH4" s="3">
        <v>1.29</v>
      </c>
      <c r="BI4" s="3">
        <v>1.01</v>
      </c>
    </row>
    <row r="5" spans="1:61" x14ac:dyDescent="0.2">
      <c r="A5" s="1">
        <v>43599</v>
      </c>
      <c r="B5" s="2">
        <f>B4+4</f>
        <v>17</v>
      </c>
      <c r="C5">
        <f t="shared" ref="C5:C18" si="6">B5/7</f>
        <v>2.4285714285714284</v>
      </c>
      <c r="D5" t="s">
        <v>25</v>
      </c>
      <c r="E5">
        <v>6200</v>
      </c>
      <c r="F5">
        <v>36.1</v>
      </c>
      <c r="G5" s="16">
        <f t="shared" si="0"/>
        <v>2238.1999999999998</v>
      </c>
      <c r="H5">
        <v>57.8</v>
      </c>
      <c r="I5" s="16">
        <f t="shared" si="1"/>
        <v>3583.6</v>
      </c>
      <c r="J5">
        <v>4.5999999999999996</v>
      </c>
      <c r="K5" s="16">
        <f t="shared" si="2"/>
        <v>285.2</v>
      </c>
      <c r="L5">
        <v>0.8</v>
      </c>
      <c r="M5" s="16">
        <f t="shared" si="3"/>
        <v>49.6</v>
      </c>
      <c r="N5">
        <v>0.7</v>
      </c>
      <c r="O5" s="16">
        <f t="shared" si="4"/>
        <v>43.4</v>
      </c>
      <c r="P5">
        <v>667</v>
      </c>
      <c r="Q5" s="16">
        <f>(I5+K5)*(33.5/100)*(45.6/100)</f>
        <v>590.99788799999999</v>
      </c>
      <c r="R5" s="28">
        <f>(I5+K5)*(64.1/100)</f>
        <v>2479.9007999999994</v>
      </c>
      <c r="S5" s="3">
        <f>R5*(0.091/100)</f>
        <v>2.2567097279999997</v>
      </c>
      <c r="T5" s="3">
        <f>(I5+K5)*(33.5/100)*(16.8/100)</f>
        <v>217.73606400000003</v>
      </c>
      <c r="U5" s="3">
        <v>81.900000000000006</v>
      </c>
      <c r="V5" s="3">
        <f>(I5+K5)*(33.5/100)*(0.88/100)</f>
        <v>11.405222400000001</v>
      </c>
      <c r="W5">
        <v>32.4</v>
      </c>
      <c r="X5">
        <f>(63.3/(63.3+22.4+7.05))*100</f>
        <v>68.247978436657689</v>
      </c>
      <c r="Y5">
        <f>(22.4/(63.3+22.4+7.05))*100</f>
        <v>24.150943396226417</v>
      </c>
      <c r="Z5">
        <f>(7.05/(63.3+22.4+7.05))*100</f>
        <v>7.6010781671159044</v>
      </c>
      <c r="AA5">
        <f>0.54+0</f>
        <v>0.54</v>
      </c>
      <c r="AB5">
        <f>15.9+0.15</f>
        <v>16.05</v>
      </c>
      <c r="AC5">
        <f>39.5+35.4</f>
        <v>74.900000000000006</v>
      </c>
      <c r="AD5">
        <f>96.8+0.54</f>
        <v>97.34</v>
      </c>
      <c r="AE5">
        <f>15.9+83.9</f>
        <v>99.800000000000011</v>
      </c>
      <c r="AF5">
        <f>11.6+39.5</f>
        <v>51.1</v>
      </c>
      <c r="AG5">
        <f>(I5+K5)*(33.5/100)*(35/100)*(7.33/100)*(3.81/100)</f>
        <v>1.266829245864</v>
      </c>
      <c r="AH5" s="3"/>
      <c r="AI5">
        <f>I5*(67.2/100)*(76.5/100)</f>
        <v>1842.2570880000001</v>
      </c>
      <c r="AJ5">
        <f>I5*(67.2/100)*(13.6/100)</f>
        <v>327.51237120000002</v>
      </c>
      <c r="AK5" s="22">
        <f t="shared" si="5"/>
        <v>5.625</v>
      </c>
      <c r="AL5">
        <v>84.7</v>
      </c>
      <c r="AM5">
        <v>11.5</v>
      </c>
      <c r="AN5">
        <v>7.9000000000000001E-2</v>
      </c>
      <c r="AO5" s="3">
        <v>61.8</v>
      </c>
      <c r="AP5" s="3">
        <v>6.33</v>
      </c>
      <c r="AQ5" s="3">
        <v>14.7</v>
      </c>
      <c r="AR5" s="3">
        <v>0.13</v>
      </c>
      <c r="AS5" s="3">
        <v>2.75</v>
      </c>
      <c r="AT5" s="3">
        <v>2.4E-2</v>
      </c>
      <c r="AU5" s="3">
        <v>1.1299999999999999</v>
      </c>
      <c r="AV5" s="3">
        <v>20</v>
      </c>
      <c r="AW5" s="3">
        <v>0.56999999999999995</v>
      </c>
      <c r="AX5" s="5">
        <v>1.61</v>
      </c>
      <c r="AY5" s="5">
        <v>59.7</v>
      </c>
      <c r="AZ5" s="5">
        <v>1.61</v>
      </c>
      <c r="BA5" s="3">
        <v>0.27</v>
      </c>
      <c r="BB5" s="3">
        <v>0.62</v>
      </c>
      <c r="BC5" s="3">
        <v>0.75</v>
      </c>
      <c r="BD5" s="3">
        <v>1.59</v>
      </c>
      <c r="BE5" s="3">
        <v>7.62</v>
      </c>
      <c r="BF5" s="3">
        <v>8.8699999999999992</v>
      </c>
      <c r="BG5" s="3">
        <v>19.8</v>
      </c>
      <c r="BH5" s="3">
        <v>0.83</v>
      </c>
      <c r="BI5" s="3">
        <v>4.6500000000000004</v>
      </c>
    </row>
    <row r="6" spans="1:61" s="3" customFormat="1" x14ac:dyDescent="0.2">
      <c r="A6" s="15">
        <v>43602</v>
      </c>
      <c r="B6" s="16">
        <f>B4+10</f>
        <v>23</v>
      </c>
      <c r="C6" s="3">
        <f t="shared" si="6"/>
        <v>3.2857142857142856</v>
      </c>
      <c r="D6" s="3" t="s">
        <v>26</v>
      </c>
      <c r="E6" s="3">
        <v>10000</v>
      </c>
      <c r="F6" s="3">
        <v>45.3</v>
      </c>
      <c r="G6" s="16">
        <f t="shared" si="0"/>
        <v>4530</v>
      </c>
      <c r="H6" s="3">
        <v>50.4</v>
      </c>
      <c r="I6" s="16">
        <f t="shared" si="1"/>
        <v>5040</v>
      </c>
      <c r="J6" s="3">
        <v>2.6</v>
      </c>
      <c r="K6" s="16">
        <f t="shared" si="2"/>
        <v>260</v>
      </c>
      <c r="L6" s="3">
        <v>1</v>
      </c>
      <c r="M6" s="16">
        <f t="shared" si="3"/>
        <v>100</v>
      </c>
      <c r="N6" s="3">
        <v>0.7</v>
      </c>
      <c r="O6" s="16">
        <f t="shared" si="4"/>
        <v>69.999999999999986</v>
      </c>
      <c r="P6" s="3">
        <v>519</v>
      </c>
      <c r="Q6" s="16">
        <f>(I6+K6)*(41.5/100)*(47.9/100)</f>
        <v>1053.5605</v>
      </c>
      <c r="R6" s="28">
        <f>(I6+K6)*(53.8/100)</f>
        <v>2851.3999999999996</v>
      </c>
      <c r="S6" s="3">
        <f>R6*(0.18/100)</f>
        <v>5.1325199999999995</v>
      </c>
      <c r="T6" s="3">
        <f>(I6+K6)*(41.5/100)*(30.2/100)</f>
        <v>664.24900000000002</v>
      </c>
      <c r="U6" s="3">
        <v>76.3</v>
      </c>
      <c r="V6" s="3">
        <f>(I6+K6)*(41.5/100)*(1.21/100)</f>
        <v>26.613949999999999</v>
      </c>
      <c r="W6">
        <v>26.7</v>
      </c>
      <c r="X6">
        <f>(71.6/(71.6+9.35+8.21))*100</f>
        <v>80.305069537909361</v>
      </c>
      <c r="Y6">
        <f>(9.35/(71.6+9.35+8.21))*100</f>
        <v>10.486765365634813</v>
      </c>
      <c r="Z6">
        <f>(8.21/(71.6+9.35+8.21))*100</f>
        <v>9.2081650964558115</v>
      </c>
      <c r="AA6">
        <f>0.052</f>
        <v>5.1999999999999998E-2</v>
      </c>
      <c r="AB6">
        <f>17.5+0.51</f>
        <v>18.010000000000002</v>
      </c>
      <c r="AC6">
        <f>37.2+32.9</f>
        <v>70.099999999999994</v>
      </c>
      <c r="AD6">
        <f>95.8+0.052</f>
        <v>95.852000000000004</v>
      </c>
      <c r="AE6">
        <f>81.8+17.5</f>
        <v>99.3</v>
      </c>
      <c r="AF6">
        <f>13.9+37.2</f>
        <v>51.1</v>
      </c>
      <c r="AG6">
        <f>(I6+K6)*(41.5/100)*(18.7/100)*(10.9/100)*(5.1/100)</f>
        <v>2.2864528334999998</v>
      </c>
      <c r="AH6"/>
      <c r="AI6">
        <f>I6*(57.6/100)*(72.4/100)</f>
        <v>2101.8009600000005</v>
      </c>
      <c r="AJ6">
        <f>I6*(57.6/100)*(16.8/100)</f>
        <v>487.71072000000009</v>
      </c>
      <c r="AK6" s="22">
        <f t="shared" si="5"/>
        <v>4.3095238095238093</v>
      </c>
      <c r="AL6" s="3">
        <v>85.5</v>
      </c>
      <c r="AM6" s="3">
        <v>11.2</v>
      </c>
      <c r="AN6" s="3">
        <v>0.31</v>
      </c>
      <c r="AO6" s="3">
        <v>69.7</v>
      </c>
      <c r="AP6" s="3">
        <v>5.41</v>
      </c>
      <c r="AQ6" s="3">
        <v>16.399999999999999</v>
      </c>
      <c r="AR6" s="3">
        <v>0.11</v>
      </c>
      <c r="AS6" s="3">
        <v>3.07</v>
      </c>
      <c r="AT6" s="3">
        <v>0.13</v>
      </c>
      <c r="AU6" s="3">
        <v>0.53</v>
      </c>
      <c r="AV6" s="3">
        <v>17.100000000000001</v>
      </c>
      <c r="AW6" s="3">
        <v>0.74</v>
      </c>
      <c r="AX6" s="5">
        <v>5.88</v>
      </c>
      <c r="AY6" s="5">
        <v>29.4</v>
      </c>
      <c r="AZ6" s="5">
        <v>1.63</v>
      </c>
      <c r="BA6" s="3">
        <v>0.3</v>
      </c>
      <c r="BB6" s="3">
        <v>0.72</v>
      </c>
      <c r="BC6" s="3">
        <v>0.54</v>
      </c>
      <c r="BD6" s="3">
        <v>2.15</v>
      </c>
      <c r="BE6" s="3">
        <v>7.81</v>
      </c>
      <c r="BF6" s="3">
        <v>1.36</v>
      </c>
      <c r="BG6" s="3">
        <v>16</v>
      </c>
      <c r="BH6" s="3">
        <v>2.2599999999999998</v>
      </c>
      <c r="BI6" s="3">
        <v>3.6</v>
      </c>
    </row>
    <row r="7" spans="1:61" x14ac:dyDescent="0.2">
      <c r="A7" s="1">
        <v>43623</v>
      </c>
      <c r="B7" s="2">
        <f>B4+28</f>
        <v>41</v>
      </c>
      <c r="C7">
        <f t="shared" si="6"/>
        <v>5.8571428571428568</v>
      </c>
      <c r="D7" t="s">
        <v>33</v>
      </c>
      <c r="E7">
        <v>8900</v>
      </c>
      <c r="F7">
        <v>32.4</v>
      </c>
      <c r="G7" s="16">
        <f t="shared" si="0"/>
        <v>2883.6</v>
      </c>
      <c r="H7">
        <v>63.3</v>
      </c>
      <c r="I7" s="16">
        <f t="shared" si="1"/>
        <v>5633.7</v>
      </c>
      <c r="J7">
        <v>2.9</v>
      </c>
      <c r="K7" s="16">
        <f t="shared" si="2"/>
        <v>258.09999999999997</v>
      </c>
      <c r="L7">
        <v>0.5</v>
      </c>
      <c r="M7" s="16">
        <f t="shared" si="3"/>
        <v>44.5</v>
      </c>
      <c r="N7">
        <v>0.9</v>
      </c>
      <c r="O7" s="16">
        <f t="shared" si="4"/>
        <v>80.100000000000009</v>
      </c>
      <c r="P7">
        <v>364</v>
      </c>
      <c r="Q7" s="16">
        <f>(I7+K7)*(40.2/100)*(69/100)</f>
        <v>1634.267484</v>
      </c>
      <c r="R7" s="28">
        <f>(I7+K7)*(57.2/100)</f>
        <v>3370.1096000000007</v>
      </c>
      <c r="S7" s="3">
        <f>R7*(0.089/100)</f>
        <v>2.9993975440000002</v>
      </c>
      <c r="T7" s="3">
        <f>(I7+K7)*(40.2/100)*(5.85/100)</f>
        <v>138.55746059999998</v>
      </c>
      <c r="U7" s="3">
        <v>85.7</v>
      </c>
      <c r="V7" s="3">
        <f>(I7+K7)*(40.2/100)*(0.39/100)</f>
        <v>9.2371640400000015</v>
      </c>
      <c r="W7">
        <v>19.3</v>
      </c>
      <c r="X7">
        <f>(59.9/(59.9+20.7+10.9))*100</f>
        <v>65.464480874316948</v>
      </c>
      <c r="Y7">
        <f>(20.7/(59.9+20.7+10.9))*100</f>
        <v>22.622950819672131</v>
      </c>
      <c r="Z7">
        <f>(10.9/(59.9+20.7+10.9))*100</f>
        <v>11.912568306010929</v>
      </c>
      <c r="AA7">
        <f>2.06+0.1</f>
        <v>2.16</v>
      </c>
      <c r="AB7">
        <f>23.4+0.23</f>
        <v>23.63</v>
      </c>
      <c r="AC7">
        <f>18.8+44.5</f>
        <v>63.3</v>
      </c>
      <c r="AD7">
        <f>89.9+2.06</f>
        <v>91.960000000000008</v>
      </c>
      <c r="AE7">
        <f>76.2+23.4</f>
        <v>99.6</v>
      </c>
      <c r="AF7">
        <f>18.8+9.29</f>
        <v>28.09</v>
      </c>
      <c r="AG7">
        <f>(I7+K7)*(40.2/100)*(23.3/100)*(8.54/100)*(2.67/100)</f>
        <v>1.2583431875049838</v>
      </c>
      <c r="AI7">
        <f>I7*(57.6/100)*(72.5/100)</f>
        <v>2352.6331200000004</v>
      </c>
      <c r="AJ7">
        <f>I7*(57.6/100)*(15/100)</f>
        <v>486.75168000000002</v>
      </c>
      <c r="AK7" s="22">
        <f t="shared" si="5"/>
        <v>4.8333333333333339</v>
      </c>
      <c r="AL7">
        <v>84.3</v>
      </c>
      <c r="AM7">
        <v>11.3</v>
      </c>
      <c r="AN7">
        <v>0.4</v>
      </c>
      <c r="AO7">
        <v>73.7</v>
      </c>
      <c r="AP7">
        <v>5.71</v>
      </c>
      <c r="AQ7">
        <v>8.5399999999999991</v>
      </c>
      <c r="AR7">
        <v>0.11</v>
      </c>
      <c r="AS7">
        <v>2.97</v>
      </c>
      <c r="AT7">
        <v>0.83</v>
      </c>
      <c r="AU7">
        <v>0.66</v>
      </c>
      <c r="AV7">
        <v>15.2</v>
      </c>
      <c r="AW7">
        <v>1.28</v>
      </c>
      <c r="AX7" s="5">
        <v>0.98</v>
      </c>
      <c r="AY7" s="5">
        <v>24.4</v>
      </c>
      <c r="AZ7" s="5">
        <v>1.46</v>
      </c>
      <c r="BA7" s="3">
        <v>0.37</v>
      </c>
      <c r="BB7" s="3">
        <v>0.56000000000000005</v>
      </c>
      <c r="BC7" s="3">
        <v>0.88</v>
      </c>
      <c r="BD7" s="3">
        <v>1.49</v>
      </c>
      <c r="BE7" s="3">
        <v>9.75</v>
      </c>
      <c r="BF7" s="3">
        <v>2.64</v>
      </c>
      <c r="BG7" s="3">
        <v>13.9</v>
      </c>
      <c r="BH7" s="3">
        <v>3.43</v>
      </c>
      <c r="BI7" s="3">
        <v>5.31</v>
      </c>
    </row>
    <row r="8" spans="1:61" x14ac:dyDescent="0.2">
      <c r="A8" s="1">
        <v>43637</v>
      </c>
      <c r="B8" s="2">
        <f>B4+6*7</f>
        <v>55</v>
      </c>
      <c r="C8">
        <f t="shared" si="6"/>
        <v>7.8571428571428568</v>
      </c>
      <c r="D8" t="s">
        <v>34</v>
      </c>
      <c r="E8">
        <v>20600</v>
      </c>
      <c r="F8">
        <v>49.5</v>
      </c>
      <c r="G8" s="16">
        <f t="shared" si="0"/>
        <v>10197</v>
      </c>
      <c r="H8">
        <v>45.7</v>
      </c>
      <c r="I8" s="16">
        <f t="shared" si="1"/>
        <v>9414.2000000000007</v>
      </c>
      <c r="J8">
        <v>3</v>
      </c>
      <c r="K8" s="16">
        <f t="shared" si="2"/>
        <v>618</v>
      </c>
      <c r="L8">
        <v>0.7</v>
      </c>
      <c r="M8" s="16">
        <f t="shared" si="3"/>
        <v>144.19999999999999</v>
      </c>
      <c r="N8">
        <v>1.1000000000000001</v>
      </c>
      <c r="O8" s="16">
        <f t="shared" si="4"/>
        <v>226.60000000000002</v>
      </c>
      <c r="P8">
        <v>476</v>
      </c>
      <c r="Q8" s="16">
        <f>(I8+K8)*(45.8/100)*(70.3/100)</f>
        <v>3230.1075627999994</v>
      </c>
      <c r="R8" s="28">
        <f>(I8+K8)*(51/100)</f>
        <v>5116.4220000000005</v>
      </c>
      <c r="S8" s="3">
        <f>R8*(0.12/100)</f>
        <v>6.1397063999999997</v>
      </c>
      <c r="T8" s="3">
        <f>(I8+K8)*(45.8/100)*(7.16/100)</f>
        <v>328.98392815999995</v>
      </c>
      <c r="U8" s="3">
        <v>89.6</v>
      </c>
      <c r="V8" s="3">
        <f>(I8+K8)*(45.8/100)*(0.3/100)</f>
        <v>13.784242799999999</v>
      </c>
      <c r="W8">
        <v>24.8</v>
      </c>
      <c r="X8">
        <f>(74.2/(74.2+13.2+7.14))*100</f>
        <v>78.485297228686264</v>
      </c>
      <c r="Y8">
        <f>(13.2/(74.2+13.2+7.14))*100</f>
        <v>13.96234398138354</v>
      </c>
      <c r="Z8">
        <f>(7.14/(74.2+13.2+7.14))*100</f>
        <v>7.5523587899301869</v>
      </c>
      <c r="AA8">
        <f>1.15+0.042</f>
        <v>1.1919999999999999</v>
      </c>
      <c r="AB8">
        <f>11.9+0.5</f>
        <v>12.4</v>
      </c>
      <c r="AC8">
        <f>6.8+22</f>
        <v>28.8</v>
      </c>
      <c r="AD8">
        <f>90.6+1.15</f>
        <v>91.75</v>
      </c>
      <c r="AE8">
        <f>86.8+11.9</f>
        <v>98.7</v>
      </c>
      <c r="AF8">
        <f>6.8+15.7</f>
        <v>22.5</v>
      </c>
      <c r="AG8">
        <f>(I8+K8)*(45.8/100)*(21.3/100)*(5.45/100)*(6.91/100)</f>
        <v>3.6856646112588596</v>
      </c>
      <c r="AI8">
        <f>I8*(61.3/100)*(67.4/100)</f>
        <v>3889.5897004000008</v>
      </c>
      <c r="AJ8">
        <f>I8*(61.3/100)*(18.6/100)</f>
        <v>1073.3882556000003</v>
      </c>
      <c r="AK8" s="22">
        <f t="shared" si="5"/>
        <v>3.6236559139784941</v>
      </c>
      <c r="AL8">
        <v>85.4</v>
      </c>
      <c r="AM8">
        <v>11.1</v>
      </c>
      <c r="AN8">
        <v>0.15</v>
      </c>
      <c r="AO8">
        <v>86.1</v>
      </c>
      <c r="AP8">
        <v>3.42</v>
      </c>
      <c r="AQ8">
        <v>4.43</v>
      </c>
      <c r="AR8">
        <v>0.17</v>
      </c>
      <c r="AS8">
        <v>1.98</v>
      </c>
      <c r="AT8">
        <v>0.35</v>
      </c>
      <c r="AU8">
        <v>2.88</v>
      </c>
      <c r="AV8">
        <v>8.23</v>
      </c>
      <c r="AW8">
        <v>1.28</v>
      </c>
      <c r="AX8" s="5">
        <v>2.74</v>
      </c>
      <c r="AY8" s="5">
        <v>26.7</v>
      </c>
      <c r="AZ8" s="5">
        <v>0</v>
      </c>
      <c r="BA8" s="3">
        <v>0.4</v>
      </c>
      <c r="BB8" s="3">
        <v>0.33</v>
      </c>
      <c r="BC8" s="3">
        <v>0.36</v>
      </c>
      <c r="BD8" s="3">
        <v>5.27</v>
      </c>
      <c r="BE8" s="3">
        <v>3.25</v>
      </c>
      <c r="BF8" s="3">
        <v>2.8</v>
      </c>
      <c r="BG8" s="3">
        <v>19.2</v>
      </c>
      <c r="BH8" s="3">
        <v>1.56</v>
      </c>
      <c r="BI8" s="3">
        <v>3.11</v>
      </c>
    </row>
    <row r="9" spans="1:61" x14ac:dyDescent="0.2">
      <c r="A9" s="1">
        <v>43651</v>
      </c>
      <c r="B9" s="2">
        <f>B4+8*7</f>
        <v>69</v>
      </c>
      <c r="C9">
        <f t="shared" si="6"/>
        <v>9.8571428571428577</v>
      </c>
      <c r="D9" t="s">
        <v>35</v>
      </c>
      <c r="E9">
        <v>14100</v>
      </c>
      <c r="F9">
        <v>35.4</v>
      </c>
      <c r="G9" s="16">
        <f t="shared" si="0"/>
        <v>4991.3999999999996</v>
      </c>
      <c r="H9">
        <v>60.4</v>
      </c>
      <c r="I9" s="16">
        <f t="shared" si="1"/>
        <v>8516.4</v>
      </c>
      <c r="J9">
        <v>2.2999999999999998</v>
      </c>
      <c r="K9" s="16">
        <f t="shared" si="2"/>
        <v>324.3</v>
      </c>
      <c r="L9">
        <v>0.9</v>
      </c>
      <c r="M9" s="16">
        <f t="shared" si="3"/>
        <v>126.90000000000002</v>
      </c>
      <c r="N9">
        <v>1</v>
      </c>
      <c r="O9" s="16">
        <f t="shared" si="4"/>
        <v>141</v>
      </c>
      <c r="P9">
        <v>423</v>
      </c>
      <c r="Q9" s="16">
        <f>(I9+K9)*(28.4/100)*(62.1/100)</f>
        <v>1559.1812147999997</v>
      </c>
      <c r="R9" s="28">
        <f>(I9+K9)*(69.1/100)</f>
        <v>6108.9236999999985</v>
      </c>
      <c r="S9" s="3">
        <f>R9*(0.057/100)</f>
        <v>3.4820865089999988</v>
      </c>
      <c r="T9" s="3">
        <f>(I9+K9)*(28.4/100)*(16/100)</f>
        <v>401.72140799999994</v>
      </c>
      <c r="U9" s="3">
        <v>87.2</v>
      </c>
      <c r="V9" s="3">
        <f>(I9+K9)*(28.4/100)*(0.81/100)</f>
        <v>20.337146279999999</v>
      </c>
      <c r="W9">
        <v>46.7</v>
      </c>
      <c r="X9">
        <f>(66.6/(66.6+2.7+18.1))*100</f>
        <v>76.201372997711658</v>
      </c>
      <c r="Y9">
        <f>(2.7/(66.6+2.7+18.1))*100</f>
        <v>3.0892448512585813</v>
      </c>
      <c r="Z9">
        <f>(18.1/(66.6+2.7+18.1))*100</f>
        <v>20.709382151029747</v>
      </c>
      <c r="AA9">
        <f>0</f>
        <v>0</v>
      </c>
      <c r="AB9">
        <f>5.81+9.69</f>
        <v>15.5</v>
      </c>
      <c r="AC9">
        <f>1.08+41.2</f>
        <v>42.28</v>
      </c>
      <c r="AD9">
        <f>25.8+0</f>
        <v>25.8</v>
      </c>
      <c r="AE9">
        <f>51.1+5.81</f>
        <v>56.910000000000004</v>
      </c>
      <c r="AF9">
        <f>2.31+1.08</f>
        <v>3.39</v>
      </c>
      <c r="AG9">
        <f>(I9+K9)*(28.4/100)*(18.6/100)*(12.6/100)*(1.2/100)</f>
        <v>0.70610571884160001</v>
      </c>
      <c r="AI9">
        <f>I9*(65.9/100)*(68.7/100)</f>
        <v>3855.6553212000003</v>
      </c>
      <c r="AJ9">
        <f>I9*(65.9/100)*(18.9/100)</f>
        <v>1060.7261363999999</v>
      </c>
      <c r="AK9" s="22">
        <f t="shared" si="5"/>
        <v>3.6349206349206358</v>
      </c>
      <c r="AL9">
        <v>90</v>
      </c>
      <c r="AM9">
        <v>7.3</v>
      </c>
      <c r="AN9">
        <v>0.16</v>
      </c>
      <c r="AO9">
        <v>88</v>
      </c>
      <c r="AP9">
        <v>3.17</v>
      </c>
      <c r="AQ9">
        <v>3.47</v>
      </c>
      <c r="AR9">
        <v>0.16</v>
      </c>
      <c r="AS9">
        <v>0.69</v>
      </c>
      <c r="AT9">
        <v>0.54</v>
      </c>
      <c r="AU9">
        <v>0.56999999999999995</v>
      </c>
      <c r="AV9">
        <v>3.15</v>
      </c>
      <c r="AW9">
        <v>1.76</v>
      </c>
      <c r="AX9" s="5">
        <v>1.23</v>
      </c>
      <c r="AY9" s="5">
        <v>9.1999999999999993</v>
      </c>
      <c r="AZ9" s="5">
        <v>3.68</v>
      </c>
      <c r="BA9" s="3">
        <v>0.23</v>
      </c>
      <c r="BB9" s="3">
        <v>0.06</v>
      </c>
      <c r="BC9" s="3">
        <v>0.67</v>
      </c>
      <c r="BD9" s="3">
        <v>1.77</v>
      </c>
      <c r="BE9" s="3">
        <v>0.88</v>
      </c>
      <c r="BF9" s="3">
        <v>4.09</v>
      </c>
      <c r="BG9" s="3">
        <v>12.4</v>
      </c>
      <c r="BH9" s="3">
        <v>0.51</v>
      </c>
      <c r="BI9" s="3">
        <v>3.13</v>
      </c>
    </row>
    <row r="10" spans="1:61" x14ac:dyDescent="0.2">
      <c r="A10" s="1">
        <v>43665</v>
      </c>
      <c r="B10" s="2">
        <f>B4+70</f>
        <v>83</v>
      </c>
      <c r="C10">
        <f t="shared" si="6"/>
        <v>11.857142857142858</v>
      </c>
      <c r="D10" t="s">
        <v>36</v>
      </c>
      <c r="E10">
        <v>14400</v>
      </c>
      <c r="F10">
        <v>28.7</v>
      </c>
      <c r="G10" s="16">
        <f t="shared" si="0"/>
        <v>4132.7999999999993</v>
      </c>
      <c r="H10">
        <v>67.2</v>
      </c>
      <c r="I10" s="16">
        <f t="shared" si="1"/>
        <v>9676.8000000000011</v>
      </c>
      <c r="J10">
        <v>2.5</v>
      </c>
      <c r="K10" s="16">
        <f t="shared" si="2"/>
        <v>360</v>
      </c>
      <c r="L10">
        <v>0.6</v>
      </c>
      <c r="M10" s="16">
        <f t="shared" si="3"/>
        <v>86.4</v>
      </c>
      <c r="N10">
        <v>1</v>
      </c>
      <c r="O10" s="16">
        <f t="shared" si="4"/>
        <v>144</v>
      </c>
      <c r="P10">
        <v>400</v>
      </c>
      <c r="Q10" s="16">
        <f>(I10+K10)*(33.4/100)*(68.9/100)</f>
        <v>2309.7286368000005</v>
      </c>
      <c r="R10" s="28">
        <f>(I10+K10)*(63.6/100)</f>
        <v>6383.4048000000012</v>
      </c>
      <c r="S10" s="3">
        <f>R10*(0.038/100)</f>
        <v>2.4256938240000001</v>
      </c>
      <c r="T10" s="3">
        <f>(I10+K10)*(33.4/100)*(13.8/100)</f>
        <v>462.61618560000005</v>
      </c>
      <c r="U10" s="3">
        <v>87.3</v>
      </c>
      <c r="V10" s="3">
        <f>(I10+K10)*(33.4/100)*(0.3/100)</f>
        <v>10.056873600000001</v>
      </c>
      <c r="W10">
        <v>23.1</v>
      </c>
      <c r="X10">
        <f>(63.3/(63.3+6.87+17.4))*100</f>
        <v>72.2850291195615</v>
      </c>
      <c r="Y10">
        <f>(6.87/(63.3+6.87+17.4))*100</f>
        <v>7.8451524494689968</v>
      </c>
      <c r="Z10">
        <f>(17.4/(63.3+6.87+17.4))*100</f>
        <v>19.869818430969509</v>
      </c>
      <c r="AA10">
        <f>0.016+0.033</f>
        <v>4.9000000000000002E-2</v>
      </c>
      <c r="AB10">
        <f>8.43+7.68</f>
        <v>16.11</v>
      </c>
      <c r="AC10">
        <f>1.03+60.2</f>
        <v>61.230000000000004</v>
      </c>
      <c r="AD10">
        <f>29.5+0.016</f>
        <v>29.515999999999998</v>
      </c>
      <c r="AE10">
        <f>68+8.43</f>
        <v>76.430000000000007</v>
      </c>
      <c r="AF10">
        <f>1.03+0.52</f>
        <v>1.55</v>
      </c>
      <c r="AG10">
        <f>(I10+K10)*(33.4/100)*(15.3/100)*(12.4/100)*(0.89/100)</f>
        <v>0.56603705095295997</v>
      </c>
      <c r="AI10">
        <f>I10*(67.1/100)*(67.7/100)</f>
        <v>4395.8509056000003</v>
      </c>
      <c r="AJ10">
        <f>I10*(67.1/100)*(21.3/100)</f>
        <v>1383.0372864000001</v>
      </c>
      <c r="AK10" s="22">
        <f t="shared" ref="AK10" si="7">AI10/AJ10</f>
        <v>3.1784037558685445</v>
      </c>
      <c r="AL10">
        <v>84.8</v>
      </c>
      <c r="AM10">
        <v>6.71</v>
      </c>
      <c r="AN10">
        <v>0.55000000000000004</v>
      </c>
      <c r="AO10">
        <v>89.5</v>
      </c>
      <c r="AP10">
        <v>2.2799999999999998</v>
      </c>
      <c r="AQ10">
        <v>2.64</v>
      </c>
      <c r="AR10">
        <v>0.14000000000000001</v>
      </c>
      <c r="AS10">
        <v>1.31</v>
      </c>
      <c r="AT10">
        <v>0.18</v>
      </c>
      <c r="AU10">
        <v>0.33</v>
      </c>
      <c r="AV10">
        <v>5.03</v>
      </c>
      <c r="AW10">
        <v>0.7</v>
      </c>
      <c r="AX10" s="5">
        <v>0.15</v>
      </c>
      <c r="AY10" s="5">
        <v>9.14</v>
      </c>
      <c r="AZ10" s="5">
        <v>8.41</v>
      </c>
      <c r="BA10" s="3">
        <v>0.18</v>
      </c>
      <c r="BB10" s="3">
        <v>0.15</v>
      </c>
      <c r="BC10" s="3">
        <v>0.13</v>
      </c>
      <c r="BD10" s="3">
        <v>0.55000000000000004</v>
      </c>
      <c r="BE10" s="3">
        <v>0.94</v>
      </c>
      <c r="BF10" s="3">
        <v>1.1100000000000001</v>
      </c>
      <c r="BG10" s="3">
        <v>11.2</v>
      </c>
      <c r="BH10" s="3">
        <v>0.43</v>
      </c>
      <c r="BI10" s="3">
        <v>8.1300000000000008</v>
      </c>
    </row>
    <row r="11" spans="1:61" x14ac:dyDescent="0.2">
      <c r="A11" s="1">
        <v>43679</v>
      </c>
      <c r="B11" s="2">
        <f>B4+7*12</f>
        <v>97</v>
      </c>
      <c r="C11">
        <f t="shared" si="6"/>
        <v>13.857142857142858</v>
      </c>
      <c r="D11" t="s">
        <v>37</v>
      </c>
      <c r="E11">
        <v>12200</v>
      </c>
      <c r="F11">
        <v>25.4</v>
      </c>
      <c r="G11" s="16">
        <f t="shared" si="0"/>
        <v>3098.8</v>
      </c>
      <c r="H11">
        <v>70.099999999999994</v>
      </c>
      <c r="I11" s="16">
        <f t="shared" si="1"/>
        <v>8552.1999999999989</v>
      </c>
      <c r="J11">
        <v>3.2</v>
      </c>
      <c r="K11" s="16">
        <f t="shared" si="2"/>
        <v>390.40000000000003</v>
      </c>
      <c r="L11">
        <v>0.4</v>
      </c>
      <c r="M11" s="16">
        <f t="shared" si="3"/>
        <v>48.800000000000004</v>
      </c>
      <c r="N11">
        <v>0.9</v>
      </c>
      <c r="O11" s="16">
        <f t="shared" si="4"/>
        <v>109.80000000000001</v>
      </c>
      <c r="P11">
        <v>204</v>
      </c>
      <c r="Q11" s="16">
        <f>(I11+K11)*(33.5/100)*(64.2/100)</f>
        <v>1923.2849819999999</v>
      </c>
      <c r="R11" s="28">
        <f>(I11+K11)*(64.2/100)</f>
        <v>5741.1491999999989</v>
      </c>
      <c r="S11" s="3">
        <f>R11*(0.034/100)</f>
        <v>1.9519907279999997</v>
      </c>
      <c r="T11" s="3">
        <f>(I11+K11)*(33.5/100)*(13.5/100)</f>
        <v>404.42908499999999</v>
      </c>
      <c r="U11" s="3">
        <v>88.7</v>
      </c>
      <c r="V11" s="3">
        <f>(I11+K11)*(33.5/100)*(0.41/100)</f>
        <v>12.282661099999997</v>
      </c>
      <c r="W11">
        <v>29.3</v>
      </c>
      <c r="X11">
        <f>(39.7/(39.7+10.3+25.2))*100</f>
        <v>52.792553191489368</v>
      </c>
      <c r="Y11">
        <f>(10.3/(39.7+10.3+25.2))*100</f>
        <v>13.696808510638297</v>
      </c>
      <c r="Z11">
        <f>(25.2/(39.7+10.3+25.2))*100</f>
        <v>33.510638297872333</v>
      </c>
      <c r="AA11">
        <f>0.024+0.012</f>
        <v>3.6000000000000004E-2</v>
      </c>
      <c r="AB11">
        <f>11.1+4.73</f>
        <v>15.83</v>
      </c>
      <c r="AC11">
        <f>5.14+55.9</f>
        <v>61.04</v>
      </c>
      <c r="AD11">
        <f>50.5+0.024</f>
        <v>50.524000000000001</v>
      </c>
      <c r="AE11">
        <f>75.6+11.1</f>
        <v>86.699999999999989</v>
      </c>
      <c r="AF11">
        <f>5.14+3.25</f>
        <v>8.39</v>
      </c>
      <c r="AG11">
        <f>(I11+K11)*(33.5/100)*(17.6/100)*(24.8/100)*(0.47/100)</f>
        <v>0.61456923925759999</v>
      </c>
      <c r="AI11">
        <f>I11*(71.6/100)*(67.9/100)</f>
        <v>4157.7717607999994</v>
      </c>
      <c r="AJ11">
        <f>I11*(71.6/100)*(20.4/100)</f>
        <v>1249.1685407999996</v>
      </c>
      <c r="AK11" s="22">
        <f t="shared" ref="AK11:AK18" si="8">AI11/AJ11</f>
        <v>3.3284313725490202</v>
      </c>
      <c r="AL11">
        <v>86.5</v>
      </c>
      <c r="AM11">
        <v>6.66</v>
      </c>
      <c r="AN11">
        <v>1.35</v>
      </c>
      <c r="AO11">
        <v>86.5</v>
      </c>
      <c r="AP11">
        <v>2.63</v>
      </c>
      <c r="AQ11">
        <v>4.25</v>
      </c>
      <c r="AR11">
        <v>0.32</v>
      </c>
      <c r="AS11">
        <v>0.32</v>
      </c>
      <c r="AT11">
        <v>0.1</v>
      </c>
      <c r="AU11">
        <v>2.65</v>
      </c>
      <c r="AV11">
        <v>3.26</v>
      </c>
      <c r="AW11">
        <v>0.68</v>
      </c>
      <c r="AX11" s="5">
        <v>3.12</v>
      </c>
      <c r="AY11" s="5">
        <v>2.6</v>
      </c>
      <c r="AZ11" s="5">
        <v>1.84</v>
      </c>
      <c r="BA11" s="3">
        <v>0.3</v>
      </c>
      <c r="BB11" s="3">
        <v>3.3000000000000002E-2</v>
      </c>
      <c r="BC11" s="3">
        <v>0.11</v>
      </c>
      <c r="BD11" s="3">
        <v>4.5999999999999996</v>
      </c>
      <c r="BE11" s="3">
        <v>0.14000000000000001</v>
      </c>
      <c r="BF11" s="3">
        <v>0.62</v>
      </c>
      <c r="BG11" s="3">
        <v>14.4</v>
      </c>
      <c r="BH11" s="3">
        <v>8.5000000000000006E-2</v>
      </c>
      <c r="BI11" s="3">
        <v>3.74</v>
      </c>
    </row>
    <row r="12" spans="1:61" x14ac:dyDescent="0.2">
      <c r="A12" s="1">
        <v>43693</v>
      </c>
      <c r="B12" s="2">
        <f>B4+7*14</f>
        <v>111</v>
      </c>
      <c r="C12">
        <f t="shared" si="6"/>
        <v>15.857142857142858</v>
      </c>
      <c r="D12" t="s">
        <v>80</v>
      </c>
      <c r="E12">
        <v>17000</v>
      </c>
      <c r="F12">
        <v>31.3</v>
      </c>
      <c r="G12" s="16">
        <f t="shared" si="0"/>
        <v>5321</v>
      </c>
      <c r="H12">
        <v>64.2</v>
      </c>
      <c r="I12" s="16">
        <f t="shared" si="1"/>
        <v>10914</v>
      </c>
      <c r="J12">
        <v>2.8</v>
      </c>
      <c r="K12" s="16">
        <f t="shared" si="2"/>
        <v>475.99999999999994</v>
      </c>
      <c r="L12">
        <v>0.5</v>
      </c>
      <c r="M12" s="16">
        <f t="shared" si="3"/>
        <v>85</v>
      </c>
      <c r="N12">
        <v>1.2</v>
      </c>
      <c r="O12" s="16">
        <f t="shared" si="4"/>
        <v>204</v>
      </c>
      <c r="P12">
        <v>465</v>
      </c>
      <c r="Q12" s="16">
        <f>(I12+K12)*(34/100)*(74.4/100)</f>
        <v>2881.2144000000008</v>
      </c>
      <c r="R12" s="28">
        <f>(I12+K12)*(64/100)</f>
        <v>7289.6</v>
      </c>
      <c r="S12" s="3">
        <f>R12*(0.039/100)</f>
        <v>2.8429440000000001</v>
      </c>
      <c r="T12" s="3">
        <f>(I12+K12)*(34/100)*(11.5/100)</f>
        <v>445.34900000000005</v>
      </c>
      <c r="U12" s="3">
        <v>86.9</v>
      </c>
      <c r="V12" s="3">
        <f>(I12+K12)*(34/100)*(0.46/100)</f>
        <v>17.813960000000002</v>
      </c>
      <c r="W12">
        <v>39.5</v>
      </c>
      <c r="X12">
        <f>(65.5/(65.5+5.68+14.6))*100</f>
        <v>76.35812543716483</v>
      </c>
      <c r="Y12">
        <f>(5.68/(65.5+5.68+14.6))*100</f>
        <v>6.6215901142457438</v>
      </c>
      <c r="Z12">
        <f>(14.6/(65.5+5.68+14.6))*100</f>
        <v>17.020284448589415</v>
      </c>
      <c r="AA12">
        <f>0.015+0.015</f>
        <v>0.03</v>
      </c>
      <c r="AB12">
        <f>5.77+4.46</f>
        <v>10.23</v>
      </c>
      <c r="AC12">
        <f>1.05+68.4</f>
        <v>69.45</v>
      </c>
      <c r="AD12">
        <f>45.1+0.015</f>
        <v>45.115000000000002</v>
      </c>
      <c r="AE12">
        <f>80.6+5.77</f>
        <v>86.36999999999999</v>
      </c>
      <c r="AF12">
        <f>1.03+1.05</f>
        <v>2.08</v>
      </c>
      <c r="AG12">
        <f>(I12+K12)*(34/100)*(12.3/100)*(14.3/100)*(1.52/100)</f>
        <v>1.0353504532800002</v>
      </c>
      <c r="AI12">
        <f>I12*(66.6/100)*(66.9/100)</f>
        <v>4862.7763559999994</v>
      </c>
      <c r="AJ12">
        <f>I12*(66.6/100)*(23.1/100)</f>
        <v>1679.0752439999999</v>
      </c>
      <c r="AK12" s="22">
        <f t="shared" si="8"/>
        <v>2.8961038961038961</v>
      </c>
      <c r="AL12">
        <v>88.2</v>
      </c>
      <c r="AM12">
        <v>6.82</v>
      </c>
      <c r="AN12">
        <v>0.48</v>
      </c>
      <c r="AO12">
        <v>88.3</v>
      </c>
      <c r="AP12">
        <v>2.71</v>
      </c>
      <c r="AQ12">
        <v>3.68</v>
      </c>
      <c r="AR12">
        <v>0.26</v>
      </c>
      <c r="AS12">
        <v>1.69</v>
      </c>
      <c r="AT12">
        <v>0.13</v>
      </c>
      <c r="AU12">
        <v>0.75</v>
      </c>
      <c r="AV12">
        <v>6.44</v>
      </c>
      <c r="AW12">
        <v>2.2000000000000002</v>
      </c>
      <c r="AX12" s="5">
        <v>1.32</v>
      </c>
      <c r="AY12" s="5">
        <v>12.8</v>
      </c>
      <c r="AZ12" s="5">
        <v>12.8</v>
      </c>
      <c r="BA12" s="3">
        <v>0.27</v>
      </c>
      <c r="BB12" s="3">
        <v>0.19</v>
      </c>
      <c r="BC12" s="3">
        <v>0.21</v>
      </c>
      <c r="BD12" s="3">
        <v>1.37</v>
      </c>
      <c r="BE12" s="3">
        <v>1.55</v>
      </c>
      <c r="BF12" s="3">
        <v>2.74</v>
      </c>
      <c r="BG12" s="3">
        <v>14.5</v>
      </c>
      <c r="BH12" s="3">
        <v>0.56999999999999995</v>
      </c>
      <c r="BI12" s="3">
        <v>7.43</v>
      </c>
    </row>
    <row r="13" spans="1:61" x14ac:dyDescent="0.2">
      <c r="A13" s="1">
        <v>43697</v>
      </c>
      <c r="B13" s="2">
        <f>B12+4</f>
        <v>115</v>
      </c>
      <c r="C13">
        <f t="shared" si="6"/>
        <v>16.428571428571427</v>
      </c>
      <c r="D13" t="s">
        <v>29</v>
      </c>
      <c r="E13">
        <v>15100</v>
      </c>
      <c r="F13">
        <v>27.7</v>
      </c>
      <c r="G13" s="16">
        <f t="shared" si="0"/>
        <v>4182.7</v>
      </c>
      <c r="H13">
        <v>67.7</v>
      </c>
      <c r="I13" s="16">
        <f t="shared" si="1"/>
        <v>10222.700000000001</v>
      </c>
      <c r="J13">
        <v>3.1</v>
      </c>
      <c r="K13" s="16">
        <f t="shared" si="2"/>
        <v>468.1</v>
      </c>
      <c r="L13">
        <v>0.5</v>
      </c>
      <c r="M13" s="16">
        <f t="shared" si="3"/>
        <v>75.5</v>
      </c>
      <c r="N13">
        <v>1</v>
      </c>
      <c r="O13" s="16">
        <f t="shared" si="4"/>
        <v>151</v>
      </c>
      <c r="P13">
        <v>364</v>
      </c>
      <c r="Q13" s="16">
        <f>(I13+K13)*(37.4/100)*(67.2/100)</f>
        <v>2686.8973824000004</v>
      </c>
      <c r="R13" s="28">
        <f>(I13+K13)*(60.2/100)</f>
        <v>6435.8616000000002</v>
      </c>
      <c r="S13" s="3">
        <f>R13*(0.036/100)</f>
        <v>2.3169101759999999</v>
      </c>
      <c r="T13" s="3">
        <f>(I13+K13)*(37.4/100)*(15.7/100)</f>
        <v>627.74239440000008</v>
      </c>
      <c r="U13" s="3">
        <v>86</v>
      </c>
      <c r="V13" s="3">
        <f>(I13+K13)*(37.4/100)*(0.34/100)</f>
        <v>13.594421280000002</v>
      </c>
      <c r="W13">
        <v>36.9</v>
      </c>
      <c r="X13">
        <f>(64.4/(64.4+13.8+10.8))*100</f>
        <v>72.359550561797761</v>
      </c>
      <c r="Y13">
        <f>(13.8/(64.4+13.8+10.8))*100</f>
        <v>15.505617977528091</v>
      </c>
      <c r="Z13">
        <f>(10.8/(64.4+13.8+10.8))*100</f>
        <v>12.134831460674159</v>
      </c>
      <c r="AA13">
        <f>0.11+0.083</f>
        <v>0.193</v>
      </c>
      <c r="AB13">
        <f>10.6+3.92</f>
        <v>14.52</v>
      </c>
      <c r="AC13">
        <f>3.21+66.7</f>
        <v>69.91</v>
      </c>
      <c r="AD13">
        <f>44.2+0.11</f>
        <v>44.31</v>
      </c>
      <c r="AE13">
        <f>10.6+81.6</f>
        <v>92.199999999999989</v>
      </c>
      <c r="AF13">
        <f>0.81+3.21</f>
        <v>4.0199999999999996</v>
      </c>
      <c r="AG13">
        <f>(I13+K13)*(37.4/100)*(15.1/100)*(11/100)*(0.62/100)</f>
        <v>0.41175902713440005</v>
      </c>
      <c r="AI13">
        <f>I13*(64.9/100)*(69.3/100)</f>
        <v>4597.7308838999998</v>
      </c>
      <c r="AJ13">
        <f>I13*(64.9/100)*(20.9/100)</f>
        <v>1386.6172507000001</v>
      </c>
      <c r="AK13" s="22">
        <f t="shared" si="8"/>
        <v>3.3157894736842102</v>
      </c>
      <c r="AL13">
        <v>85.8</v>
      </c>
      <c r="AM13">
        <v>7.15</v>
      </c>
      <c r="AN13">
        <v>1.05</v>
      </c>
      <c r="AO13">
        <v>88.1</v>
      </c>
      <c r="AP13">
        <v>2.5099999999999998</v>
      </c>
      <c r="AQ13">
        <v>3.31</v>
      </c>
      <c r="AR13">
        <v>0.24</v>
      </c>
      <c r="AS13">
        <v>1.08</v>
      </c>
      <c r="AT13">
        <v>1.1299999999999999</v>
      </c>
      <c r="AU13">
        <v>0.93</v>
      </c>
      <c r="AV13">
        <v>3.69</v>
      </c>
      <c r="AW13">
        <v>1.81</v>
      </c>
      <c r="AX13" s="5">
        <v>0.9</v>
      </c>
      <c r="AY13" s="5">
        <v>7.69</v>
      </c>
      <c r="AZ13" s="5">
        <v>1.51</v>
      </c>
      <c r="BA13" s="3">
        <v>0.26</v>
      </c>
      <c r="BB13" s="3">
        <v>0.11</v>
      </c>
      <c r="BC13" s="3">
        <v>0.75</v>
      </c>
      <c r="BD13" s="3">
        <v>2.2000000000000002</v>
      </c>
      <c r="BE13" s="3">
        <v>1.26</v>
      </c>
      <c r="BF13" s="3">
        <v>1.68</v>
      </c>
      <c r="BG13" s="3">
        <v>16.600000000000001</v>
      </c>
      <c r="BH13" s="3">
        <v>7.9000000000000001E-2</v>
      </c>
      <c r="BI13" s="3">
        <v>4.5199999999999996</v>
      </c>
    </row>
    <row r="14" spans="1:61" x14ac:dyDescent="0.2">
      <c r="A14" s="1">
        <v>43703</v>
      </c>
      <c r="B14" s="2">
        <f>B12+10</f>
        <v>121</v>
      </c>
      <c r="C14">
        <f t="shared" si="6"/>
        <v>17.285714285714285</v>
      </c>
      <c r="D14" t="s">
        <v>30</v>
      </c>
      <c r="E14">
        <v>12600</v>
      </c>
      <c r="F14">
        <v>20.2</v>
      </c>
      <c r="G14" s="16">
        <f t="shared" si="0"/>
        <v>2545.1999999999998</v>
      </c>
      <c r="H14">
        <v>74.7</v>
      </c>
      <c r="I14" s="16">
        <f t="shared" si="1"/>
        <v>9412.2000000000007</v>
      </c>
      <c r="J14">
        <v>3.5</v>
      </c>
      <c r="K14" s="16">
        <f t="shared" si="2"/>
        <v>441.00000000000006</v>
      </c>
      <c r="L14">
        <v>0.3</v>
      </c>
      <c r="M14" s="16">
        <f t="shared" si="3"/>
        <v>37.800000000000004</v>
      </c>
      <c r="N14">
        <v>1.3</v>
      </c>
      <c r="O14" s="16">
        <f t="shared" si="4"/>
        <v>163.80000000000001</v>
      </c>
      <c r="P14">
        <v>257</v>
      </c>
      <c r="Q14" s="16">
        <f>(I14+K14)*(15.9/100)*(70.5/100)</f>
        <v>1104.4944540000001</v>
      </c>
      <c r="R14" s="28">
        <f>(I14+K14)*(81/100)</f>
        <v>7981.0920000000015</v>
      </c>
      <c r="S14" s="3">
        <f>R14*(0.011/100)</f>
        <v>0.87792012000000008</v>
      </c>
      <c r="T14" s="3">
        <f>(I14+K14)*(15.9/100)*(9.12/100)</f>
        <v>142.87928256000001</v>
      </c>
      <c r="U14" s="3">
        <v>69.3</v>
      </c>
      <c r="V14" s="3">
        <f>(I14+K14)*(15.9/100)*(1.27/100)</f>
        <v>19.896566760000002</v>
      </c>
      <c r="W14">
        <v>39.9</v>
      </c>
      <c r="X14">
        <f>(42.8/(42.8+14.4+2.94))*100</f>
        <v>71.167276355171268</v>
      </c>
      <c r="Y14">
        <f>(14.4/(42.8+14.4+2.94))*100</f>
        <v>23.944130362487531</v>
      </c>
      <c r="Z14">
        <f>(2.94/(42.8+14.4+2.94))*100</f>
        <v>4.8885932823412039</v>
      </c>
      <c r="AA14">
        <f>0.017+0</f>
        <v>1.7000000000000001E-2</v>
      </c>
      <c r="AB14">
        <f>2.01+0.05</f>
        <v>2.0599999999999996</v>
      </c>
      <c r="AC14">
        <f>7.39+20.4</f>
        <v>27.79</v>
      </c>
      <c r="AD14">
        <f>47.6+0.017</f>
        <v>47.617000000000004</v>
      </c>
      <c r="AE14">
        <f>2.01+89.4</f>
        <v>91.410000000000011</v>
      </c>
      <c r="AF14">
        <f>29.1+7.39</f>
        <v>36.49</v>
      </c>
      <c r="AG14">
        <f>(I14+K14)*(15.9/100)*(16.8/100)*(39.8/100)*(0.24/100)</f>
        <v>0.25140737760768</v>
      </c>
      <c r="AI14">
        <f>I14*(85/100)*(68.7/100)</f>
        <v>5496.2541900000006</v>
      </c>
      <c r="AJ14">
        <f>I14*(85/100)*(18.6/100)</f>
        <v>1488.0688200000004</v>
      </c>
      <c r="AK14" s="22">
        <f t="shared" si="8"/>
        <v>3.6935483870967736</v>
      </c>
      <c r="AL14">
        <v>88.6</v>
      </c>
      <c r="AM14">
        <v>3.72</v>
      </c>
      <c r="AN14">
        <v>1.0900000000000001</v>
      </c>
      <c r="AO14">
        <v>78.2</v>
      </c>
      <c r="AP14">
        <v>5.6</v>
      </c>
      <c r="AQ14">
        <v>5.34</v>
      </c>
      <c r="AR14">
        <v>0.92</v>
      </c>
      <c r="AS14">
        <v>1.55</v>
      </c>
      <c r="AT14">
        <v>7.0000000000000007E-2</v>
      </c>
      <c r="AU14">
        <v>3.18</v>
      </c>
      <c r="AV14">
        <v>2.4500000000000002</v>
      </c>
      <c r="AW14">
        <v>0.63</v>
      </c>
      <c r="AX14" s="5">
        <v>3.72</v>
      </c>
      <c r="AY14" s="5">
        <v>18.100000000000001</v>
      </c>
      <c r="AZ14" s="5">
        <v>1.99</v>
      </c>
      <c r="BA14" s="3">
        <v>1.51</v>
      </c>
      <c r="BB14" s="3">
        <v>0.33</v>
      </c>
      <c r="BC14" s="3">
        <v>0.34</v>
      </c>
      <c r="BD14" s="3">
        <v>4.37</v>
      </c>
      <c r="BE14" s="3">
        <v>7.03</v>
      </c>
      <c r="BF14" s="3">
        <v>2.68</v>
      </c>
      <c r="BG14" s="3">
        <v>27</v>
      </c>
      <c r="BH14" s="3">
        <v>2.74</v>
      </c>
      <c r="BI14" s="3">
        <v>5.49</v>
      </c>
    </row>
    <row r="15" spans="1:61" x14ac:dyDescent="0.2">
      <c r="A15" s="1">
        <v>43721</v>
      </c>
      <c r="B15" s="2">
        <f>B12+7*4</f>
        <v>139</v>
      </c>
      <c r="C15">
        <f t="shared" si="6"/>
        <v>19.857142857142858</v>
      </c>
      <c r="D15" t="s">
        <v>31</v>
      </c>
      <c r="E15">
        <v>14500</v>
      </c>
      <c r="F15">
        <v>30</v>
      </c>
      <c r="G15" s="16">
        <f t="shared" si="0"/>
        <v>4350</v>
      </c>
      <c r="H15">
        <v>65</v>
      </c>
      <c r="I15" s="16">
        <f t="shared" si="1"/>
        <v>9425</v>
      </c>
      <c r="J15">
        <v>3.1</v>
      </c>
      <c r="K15" s="16">
        <f t="shared" si="2"/>
        <v>449.5</v>
      </c>
      <c r="L15">
        <v>0.7</v>
      </c>
      <c r="M15" s="16">
        <f t="shared" si="3"/>
        <v>101.49999999999999</v>
      </c>
      <c r="N15">
        <v>1.2</v>
      </c>
      <c r="O15" s="16">
        <f t="shared" si="4"/>
        <v>174</v>
      </c>
      <c r="P15">
        <v>478</v>
      </c>
      <c r="Q15" s="16">
        <f>(I15+K15)*(28.7/100)*(48.4/100)</f>
        <v>1371.6470459999998</v>
      </c>
      <c r="R15" s="28">
        <f>(I15+K15)*(68.3/100)</f>
        <v>6744.2834999999995</v>
      </c>
      <c r="S15" s="3">
        <f>R15*(0.053/100)</f>
        <v>3.5744702549999996</v>
      </c>
      <c r="T15" s="3">
        <f>(I15+K15)*(28.7/100)*(22.7/100)</f>
        <v>643.31380049999996</v>
      </c>
      <c r="U15" s="3">
        <v>71.2</v>
      </c>
      <c r="V15" s="3">
        <f>(I15+K15)*(28.7/100)*(0.65/100)</f>
        <v>18.420879750000001</v>
      </c>
      <c r="W15">
        <v>31.7</v>
      </c>
      <c r="X15">
        <f>(65/(65+9.27+7))*100</f>
        <v>79.980312538452083</v>
      </c>
      <c r="Y15">
        <f>(9.27/(65+9.27+7))*100</f>
        <v>11.406423034330011</v>
      </c>
      <c r="Z15">
        <f>(7/(65+9.27+7))*100</f>
        <v>8.6132644272179171</v>
      </c>
      <c r="AA15">
        <f>0.00504</f>
        <v>5.0400000000000002E-3</v>
      </c>
      <c r="AB15">
        <f>2.54+1.38</f>
        <v>3.92</v>
      </c>
      <c r="AC15">
        <f>4.07+29.3</f>
        <v>33.370000000000005</v>
      </c>
      <c r="AD15">
        <f>42.3+0</f>
        <v>42.3</v>
      </c>
      <c r="AE15">
        <f>89.1+2.54</f>
        <v>91.64</v>
      </c>
      <c r="AF15">
        <f>4.07+9.64</f>
        <v>13.71</v>
      </c>
      <c r="AG15">
        <f>(I15+K15)*(28.7/100)*(25/100)*(18.7/100)*(0.35/100)</f>
        <v>0.46371022293749997</v>
      </c>
      <c r="AI15">
        <f>I15*(71.8/100)*(61.1/100)</f>
        <v>4134.72865</v>
      </c>
      <c r="AJ15">
        <f>I15*(71.8/100)*(26/100)</f>
        <v>1759.4590000000001</v>
      </c>
      <c r="AK15" s="22">
        <f t="shared" si="8"/>
        <v>2.35</v>
      </c>
      <c r="AL15">
        <v>86</v>
      </c>
      <c r="AM15">
        <v>2.63</v>
      </c>
      <c r="AN15">
        <v>3.04</v>
      </c>
      <c r="AO15">
        <v>72.900000000000006</v>
      </c>
      <c r="AP15">
        <v>4.66</v>
      </c>
      <c r="AQ15">
        <v>6.82</v>
      </c>
      <c r="AR15">
        <v>0.66</v>
      </c>
      <c r="AS15">
        <v>0.93</v>
      </c>
      <c r="AT15">
        <v>0.1</v>
      </c>
      <c r="AU15">
        <v>1.22</v>
      </c>
      <c r="AV15">
        <v>4.0199999999999996</v>
      </c>
      <c r="AW15">
        <v>0.78</v>
      </c>
      <c r="AX15" s="5">
        <v>1.67</v>
      </c>
      <c r="AY15" s="5">
        <v>5.66</v>
      </c>
      <c r="AZ15" s="5">
        <v>1.1499999999999999</v>
      </c>
      <c r="BA15" s="3">
        <v>0.87</v>
      </c>
      <c r="BB15" s="3">
        <v>0.23</v>
      </c>
      <c r="BC15" s="3">
        <v>0.62</v>
      </c>
      <c r="BD15" s="3">
        <v>2.87</v>
      </c>
      <c r="BE15" s="3">
        <v>3.33</v>
      </c>
      <c r="BF15" s="3">
        <v>5.89</v>
      </c>
      <c r="BG15" s="3">
        <v>20.3</v>
      </c>
      <c r="BH15" s="3">
        <v>0.3</v>
      </c>
      <c r="BI15" s="3">
        <v>6.18</v>
      </c>
    </row>
    <row r="16" spans="1:61" x14ac:dyDescent="0.2">
      <c r="A16" s="1">
        <v>43735</v>
      </c>
      <c r="B16" s="2">
        <f>B12+7*6</f>
        <v>153</v>
      </c>
      <c r="C16">
        <f t="shared" si="6"/>
        <v>21.857142857142858</v>
      </c>
      <c r="D16" t="s">
        <v>81</v>
      </c>
      <c r="E16">
        <v>13800</v>
      </c>
      <c r="F16">
        <v>33.700000000000003</v>
      </c>
      <c r="G16" s="16">
        <f t="shared" si="0"/>
        <v>4650.6000000000004</v>
      </c>
      <c r="H16">
        <v>60.7</v>
      </c>
      <c r="I16" s="16">
        <f t="shared" si="1"/>
        <v>8376.6</v>
      </c>
      <c r="J16">
        <v>3.9</v>
      </c>
      <c r="K16" s="16">
        <f t="shared" si="2"/>
        <v>538.20000000000005</v>
      </c>
      <c r="L16">
        <v>0.5</v>
      </c>
      <c r="M16" s="16">
        <f t="shared" si="3"/>
        <v>69</v>
      </c>
      <c r="N16">
        <v>1.2</v>
      </c>
      <c r="O16" s="16">
        <f t="shared" si="4"/>
        <v>165.6</v>
      </c>
      <c r="P16">
        <v>351</v>
      </c>
      <c r="Q16" s="16">
        <f>(I16+K16)*(28.9/100)*(41.1/100)</f>
        <v>1058.8910292</v>
      </c>
      <c r="R16" s="28">
        <f>(I16+K16)*(66/100)</f>
        <v>5883.7680000000009</v>
      </c>
      <c r="S16" s="3">
        <f>R16*(0.031/100)</f>
        <v>1.8239680800000002</v>
      </c>
      <c r="T16" s="3">
        <f>(I16+K16)*(28.9/100)*(24.7/100)</f>
        <v>636.36516840000002</v>
      </c>
      <c r="U16" s="3">
        <v>81.3</v>
      </c>
      <c r="V16" s="3">
        <f>(I16+K16)*(28.9/100)*(0.87/100)</f>
        <v>22.414481639999998</v>
      </c>
      <c r="W16">
        <v>46.8</v>
      </c>
      <c r="X16">
        <f>(53.4/(53.4+17.9+15.2))*100</f>
        <v>61.734104046242777</v>
      </c>
      <c r="Y16">
        <f>(17.9/(53.4+17.9+15.2))*100</f>
        <v>20.693641618497107</v>
      </c>
      <c r="Z16">
        <f>(15.2/(53.4+17.9+15.2))*100</f>
        <v>17.572254335260116</v>
      </c>
      <c r="AA16">
        <f>0.034+0.0048</f>
        <v>3.8800000000000001E-2</v>
      </c>
      <c r="AB16">
        <f>6.04+1.63</f>
        <v>7.67</v>
      </c>
      <c r="AC16">
        <f>5.18+28.3</f>
        <v>33.480000000000004</v>
      </c>
      <c r="AD16">
        <f>60+0.034</f>
        <v>60.033999999999999</v>
      </c>
      <c r="AE16">
        <f>86.3+6.04</f>
        <v>92.34</v>
      </c>
      <c r="AF16">
        <f>7.6+5.18</f>
        <v>12.78</v>
      </c>
      <c r="AG16">
        <f>(I16+K16)*(28.9/100)*(30.9/100)*(13.5/100)*(1.12/100)</f>
        <v>1.2037040388576001</v>
      </c>
      <c r="AI16">
        <f>I16*(74/100)*(56.6/100)</f>
        <v>3508.4551440000005</v>
      </c>
      <c r="AJ16">
        <f>I16*(74/100)*(28.8/100)</f>
        <v>1785.2209920000003</v>
      </c>
      <c r="AK16" s="22">
        <f t="shared" si="8"/>
        <v>1.9652777777777777</v>
      </c>
      <c r="AL16">
        <v>76.900000000000006</v>
      </c>
      <c r="AM16">
        <v>4.26</v>
      </c>
      <c r="AN16">
        <v>5.51</v>
      </c>
      <c r="AO16">
        <v>70.8</v>
      </c>
      <c r="AP16">
        <v>3.73</v>
      </c>
      <c r="AQ16">
        <v>9.6300000000000008</v>
      </c>
      <c r="AR16">
        <v>0.75</v>
      </c>
      <c r="AS16">
        <v>0.72</v>
      </c>
      <c r="AT16">
        <v>8.3000000000000004E-2</v>
      </c>
      <c r="AU16">
        <v>4.16</v>
      </c>
      <c r="AV16">
        <v>2.75</v>
      </c>
      <c r="AW16">
        <v>0.63</v>
      </c>
      <c r="AX16" s="5">
        <v>1.75</v>
      </c>
      <c r="AY16" s="5">
        <v>5.03</v>
      </c>
      <c r="AZ16" s="5">
        <v>0.42</v>
      </c>
      <c r="BA16" s="3">
        <v>1.27</v>
      </c>
      <c r="BB16" s="3">
        <v>0.28000000000000003</v>
      </c>
      <c r="BC16" s="3">
        <v>0.42</v>
      </c>
      <c r="BD16" s="3">
        <v>7.75</v>
      </c>
      <c r="BE16" s="3">
        <v>4.21</v>
      </c>
      <c r="BF16" s="3">
        <v>4.88</v>
      </c>
      <c r="BG16" s="3">
        <v>21.7</v>
      </c>
      <c r="BH16" s="3">
        <v>0.51</v>
      </c>
      <c r="BI16" s="3">
        <v>7.34</v>
      </c>
    </row>
    <row r="17" spans="1:61" x14ac:dyDescent="0.2">
      <c r="A17" s="1">
        <v>43749</v>
      </c>
      <c r="B17" s="2">
        <f>B12+7*8</f>
        <v>167</v>
      </c>
      <c r="C17">
        <f t="shared" si="6"/>
        <v>23.857142857142858</v>
      </c>
      <c r="D17" t="s">
        <v>82</v>
      </c>
      <c r="E17">
        <v>17400</v>
      </c>
      <c r="F17">
        <v>37.200000000000003</v>
      </c>
      <c r="G17" s="16">
        <f t="shared" si="0"/>
        <v>6472.8000000000011</v>
      </c>
      <c r="H17">
        <v>55.3</v>
      </c>
      <c r="I17" s="16">
        <f t="shared" si="1"/>
        <v>9622.1999999999989</v>
      </c>
      <c r="J17">
        <v>5.7</v>
      </c>
      <c r="K17" s="16">
        <f t="shared" si="2"/>
        <v>991.80000000000007</v>
      </c>
      <c r="L17">
        <v>0.7</v>
      </c>
      <c r="M17" s="16">
        <f t="shared" si="3"/>
        <v>121.79999999999998</v>
      </c>
      <c r="N17">
        <v>1.1000000000000001</v>
      </c>
      <c r="O17" s="16">
        <f t="shared" si="4"/>
        <v>191.4</v>
      </c>
      <c r="P17">
        <v>336</v>
      </c>
      <c r="Q17" s="16">
        <f>(I17+K17)*(33.2/100)*(52.9/100)</f>
        <v>1864.1155919999999</v>
      </c>
      <c r="R17" s="28">
        <f>(I17+K17)*(62.5/100)</f>
        <v>6633.7499999999991</v>
      </c>
      <c r="S17" s="3">
        <f>R17*(0.011/100)</f>
        <v>0.72971249999999988</v>
      </c>
      <c r="T17" s="3">
        <f>(I17+K17)*(33.2/100)*(12.8/100)</f>
        <v>451.05254399999995</v>
      </c>
      <c r="U17" s="3">
        <v>79.7</v>
      </c>
      <c r="V17" s="3">
        <f>(I17+K17)*(33.2/100)*(0.6/100)</f>
        <v>21.143087999999999</v>
      </c>
      <c r="W17">
        <v>38.9</v>
      </c>
      <c r="X17">
        <f>(49.9/(49.9+25+12))*100</f>
        <v>57.4223245109321</v>
      </c>
      <c r="Y17">
        <f>(25/(49.9+25+12))*100</f>
        <v>28.768699654775602</v>
      </c>
      <c r="Z17">
        <f>(12/(49.9+25+12))*100</f>
        <v>13.808975834292289</v>
      </c>
      <c r="AA17">
        <f>0.021+0.00825</f>
        <v>2.9250000000000002E-2</v>
      </c>
      <c r="AB17">
        <f>7.72+1.49</f>
        <v>9.2099999999999991</v>
      </c>
      <c r="AC17">
        <f>10.5+35.5</f>
        <v>46</v>
      </c>
      <c r="AD17">
        <f>42+0.021</f>
        <v>42.021000000000001</v>
      </c>
      <c r="AE17">
        <f>82.5+7.72</f>
        <v>90.22</v>
      </c>
      <c r="AF17">
        <f>9.93+10.5</f>
        <v>20.43</v>
      </c>
      <c r="AG17">
        <f>(I17+K17)*(33.2/100)*(32/100)*(13.1/100)*(0.5/100)</f>
        <v>0.73859854079999987</v>
      </c>
      <c r="AI17">
        <f>I17*(72.9/100)*(55.5/100)</f>
        <v>3893.0940090000004</v>
      </c>
      <c r="AJ17">
        <f>I17*(72.9/100)*(30/100)</f>
        <v>2104.3751400000001</v>
      </c>
      <c r="AK17" s="22">
        <f t="shared" si="8"/>
        <v>1.85</v>
      </c>
      <c r="AL17">
        <v>80.7</v>
      </c>
      <c r="AM17">
        <v>2.4900000000000002</v>
      </c>
      <c r="AN17">
        <v>3.79</v>
      </c>
      <c r="AO17">
        <v>76.5</v>
      </c>
      <c r="AP17">
        <v>4.57</v>
      </c>
      <c r="AQ17">
        <v>8.94</v>
      </c>
      <c r="AR17">
        <v>0.44</v>
      </c>
      <c r="AS17">
        <v>0.68</v>
      </c>
      <c r="AT17">
        <v>7.1999999999999995E-2</v>
      </c>
      <c r="AU17">
        <v>0.56000000000000005</v>
      </c>
      <c r="AV17">
        <v>3.72</v>
      </c>
      <c r="AW17">
        <v>0.47</v>
      </c>
      <c r="AX17" s="5">
        <v>0.55000000000000004</v>
      </c>
      <c r="AY17" s="5">
        <v>4.29</v>
      </c>
      <c r="AZ17" s="5">
        <v>0.9</v>
      </c>
      <c r="BA17" s="3">
        <v>0.77</v>
      </c>
      <c r="BB17" s="3">
        <v>0.33</v>
      </c>
      <c r="BC17" s="3">
        <v>0.21</v>
      </c>
      <c r="BD17" s="3">
        <v>2.5299999999999998</v>
      </c>
      <c r="BE17" s="3">
        <v>5.78</v>
      </c>
      <c r="BF17" s="3">
        <v>3.93</v>
      </c>
      <c r="BG17" s="3">
        <v>13.8</v>
      </c>
      <c r="BH17" s="3">
        <v>1.1299999999999999</v>
      </c>
      <c r="BI17" s="3">
        <v>6.39</v>
      </c>
    </row>
    <row r="18" spans="1:61" x14ac:dyDescent="0.2">
      <c r="A18" s="1">
        <v>43759</v>
      </c>
      <c r="B18" s="2">
        <f>B12+7*10-4</f>
        <v>177</v>
      </c>
      <c r="C18">
        <f t="shared" si="6"/>
        <v>25.285714285714285</v>
      </c>
      <c r="D18" t="s">
        <v>83</v>
      </c>
      <c r="E18" s="25">
        <v>22300</v>
      </c>
      <c r="F18" s="25">
        <v>34</v>
      </c>
      <c r="G18" s="19">
        <f t="shared" si="0"/>
        <v>7582.0000000000009</v>
      </c>
      <c r="H18" s="25">
        <v>60</v>
      </c>
      <c r="I18" s="19">
        <f t="shared" si="1"/>
        <v>13380</v>
      </c>
      <c r="J18" s="25">
        <v>3.9</v>
      </c>
      <c r="K18" s="19">
        <f t="shared" si="2"/>
        <v>869.7</v>
      </c>
      <c r="L18" s="25">
        <v>0.7</v>
      </c>
      <c r="M18" s="19">
        <f t="shared" si="3"/>
        <v>156.1</v>
      </c>
      <c r="N18" s="25">
        <v>1.4</v>
      </c>
      <c r="O18" s="19">
        <f t="shared" si="4"/>
        <v>312.2</v>
      </c>
      <c r="P18" s="25">
        <v>292</v>
      </c>
      <c r="Q18" s="16">
        <f>(I18+K18)*(27.1/100)*(69.6/100)</f>
        <v>2687.7214152000001</v>
      </c>
      <c r="R18" s="28">
        <f>(I18+K18)*(67.6/100)</f>
        <v>9632.7971999999991</v>
      </c>
      <c r="S18" s="3">
        <f>R18*(0.00402/100)</f>
        <v>0.38723844743999997</v>
      </c>
      <c r="T18" s="3">
        <f>(I18+K18)*(27.1/100)*(5.37/100)</f>
        <v>207.37160919000002</v>
      </c>
      <c r="U18" s="3">
        <v>57.9</v>
      </c>
      <c r="V18" s="3">
        <f>(I18+K18)*(27.1/100)*(0.34/100)</f>
        <v>13.129673580000004</v>
      </c>
      <c r="W18">
        <v>26</v>
      </c>
      <c r="X18">
        <f>(64.2/(64.2+16.3+3.03))*100</f>
        <v>76.858613671734716</v>
      </c>
      <c r="Y18">
        <f>(16.3/(64.2+16.3+3.03))*100</f>
        <v>19.513947084879685</v>
      </c>
      <c r="Z18">
        <f>(3.03/(64.2+16.3+3.03))*100</f>
        <v>3.6274392433856097</v>
      </c>
      <c r="AA18">
        <f>0.00389+0</f>
        <v>3.8899999999999998E-3</v>
      </c>
      <c r="AB18">
        <f>1.2+0.71</f>
        <v>1.91</v>
      </c>
      <c r="AC18">
        <f>3.88+25.2</f>
        <v>29.08</v>
      </c>
      <c r="AD18">
        <f>48.8+0.00389</f>
        <v>48.803889999999996</v>
      </c>
      <c r="AE18">
        <f>86.1+1.2</f>
        <v>87.3</v>
      </c>
      <c r="AF18">
        <f>15.7+3.88</f>
        <v>19.579999999999998</v>
      </c>
      <c r="AG18">
        <f>(I18+K18)*(27.1/100)*(23.6/100)*(16.5/100)*(0.32/100)</f>
        <v>0.48119481336960018</v>
      </c>
      <c r="AI18" s="25">
        <f>I18*(83.5/100)*(54.9/100)</f>
        <v>6133.5926999999992</v>
      </c>
      <c r="AJ18" s="25">
        <f>I18*(83.5/100)*(31.9/100)</f>
        <v>3563.9636999999998</v>
      </c>
      <c r="AK18" s="22">
        <f t="shared" si="8"/>
        <v>1.7210031347962382</v>
      </c>
      <c r="AL18">
        <v>81.599999999999994</v>
      </c>
      <c r="AM18">
        <v>1.47</v>
      </c>
      <c r="AN18">
        <v>1.65</v>
      </c>
      <c r="AO18">
        <v>81.900000000000006</v>
      </c>
      <c r="AP18">
        <v>1.8</v>
      </c>
      <c r="AQ18">
        <v>4.12</v>
      </c>
      <c r="AR18">
        <v>0.76</v>
      </c>
      <c r="AS18">
        <v>0.57999999999999996</v>
      </c>
      <c r="AT18">
        <v>0.11</v>
      </c>
      <c r="AU18">
        <v>1.96</v>
      </c>
      <c r="AV18">
        <v>2.19</v>
      </c>
      <c r="AW18">
        <v>0.2</v>
      </c>
      <c r="AX18" s="5">
        <v>3.46</v>
      </c>
      <c r="AY18" s="5">
        <v>3.53</v>
      </c>
      <c r="AZ18" s="5">
        <v>0.65</v>
      </c>
      <c r="BA18" s="3">
        <v>0.59</v>
      </c>
      <c r="BB18" s="3">
        <v>0.27</v>
      </c>
      <c r="BC18" s="3">
        <v>0.28000000000000003</v>
      </c>
      <c r="BD18" s="3">
        <v>2.69</v>
      </c>
      <c r="BE18" s="3">
        <v>4.28</v>
      </c>
      <c r="BF18" s="3">
        <v>2.65</v>
      </c>
      <c r="BG18" s="3">
        <v>10.5</v>
      </c>
      <c r="BH18" s="3">
        <v>0.31</v>
      </c>
      <c r="BI18" s="3">
        <v>2.95</v>
      </c>
    </row>
    <row r="23" spans="1:61" x14ac:dyDescent="0.2">
      <c r="A23" s="5" t="s">
        <v>38</v>
      </c>
    </row>
    <row r="24" spans="1:61" x14ac:dyDescent="0.2">
      <c r="A24" s="4" t="s">
        <v>39</v>
      </c>
    </row>
    <row r="25" spans="1:61" x14ac:dyDescent="0.2">
      <c r="A25" s="17" t="s">
        <v>77</v>
      </c>
    </row>
    <row r="27" spans="1:61" x14ac:dyDescent="0.2">
      <c r="A27" t="s">
        <v>84</v>
      </c>
    </row>
  </sheetData>
  <mergeCells count="10">
    <mergeCell ref="E1:P2"/>
    <mergeCell ref="Q1:AH2"/>
    <mergeCell ref="AI1:AQ2"/>
    <mergeCell ref="AR1:BI1"/>
    <mergeCell ref="AR2:AT2"/>
    <mergeCell ref="AU2:AW2"/>
    <mergeCell ref="AX2:AZ2"/>
    <mergeCell ref="BA2:BC2"/>
    <mergeCell ref="BD2:BF2"/>
    <mergeCell ref="BG2:BI2"/>
  </mergeCells>
  <pageMargins left="0.7" right="0.7" top="0.75" bottom="0.75" header="0.3" footer="0.3"/>
  <cellWatches>
    <cellWatch r="B1"/>
  </cellWatch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5009F-46D8-7E45-9796-6E0388CCC666}">
  <sheetPr>
    <tabColor rgb="FF0070C0"/>
  </sheetPr>
  <dimension ref="A1:BI27"/>
  <sheetViews>
    <sheetView workbookViewId="0">
      <pane xSplit="4" ySplit="2" topLeftCell="E3" activePane="bottomRight" state="frozen"/>
      <selection activeCell="AB9" sqref="AB9"/>
      <selection pane="topRight" activeCell="AB9" sqref="AB9"/>
      <selection pane="bottomLeft" activeCell="AB9" sqref="AB9"/>
      <selection pane="bottomRight" activeCell="Q29" sqref="Q29"/>
    </sheetView>
  </sheetViews>
  <sheetFormatPr baseColWidth="10" defaultColWidth="11" defaultRowHeight="16" x14ac:dyDescent="0.2"/>
  <cols>
    <col min="1" max="1" width="9.5" customWidth="1"/>
    <col min="2" max="2" width="9.83203125" style="2" bestFit="1" customWidth="1"/>
    <col min="3" max="3" width="12.1640625" bestFit="1" customWidth="1"/>
    <col min="4" max="4" width="13.83203125" bestFit="1" customWidth="1"/>
    <col min="5" max="16" width="13.83203125" customWidth="1"/>
    <col min="17" max="17" width="24.1640625" bestFit="1" customWidth="1"/>
    <col min="18" max="20" width="24.1640625" customWidth="1"/>
    <col min="21" max="21" width="20.83203125" bestFit="1" customWidth="1"/>
    <col min="22" max="22" width="19.1640625" bestFit="1" customWidth="1"/>
    <col min="23" max="23" width="23.5" bestFit="1" customWidth="1"/>
    <col min="24" max="24" width="19.6640625" bestFit="1" customWidth="1"/>
    <col min="25" max="25" width="23.5" bestFit="1" customWidth="1"/>
    <col min="26" max="26" width="22.6640625" bestFit="1" customWidth="1"/>
    <col min="27" max="27" width="16.6640625" bestFit="1" customWidth="1"/>
    <col min="28" max="28" width="20.5" bestFit="1" customWidth="1"/>
    <col min="29" max="29" width="19.6640625" bestFit="1" customWidth="1"/>
    <col min="30" max="30" width="19.6640625" customWidth="1"/>
    <col min="31" max="31" width="21.83203125" bestFit="1" customWidth="1"/>
    <col min="32" max="32" width="20.83203125" bestFit="1" customWidth="1"/>
    <col min="33" max="33" width="13" customWidth="1"/>
    <col min="34" max="34" width="14.83203125" bestFit="1" customWidth="1"/>
    <col min="35" max="36" width="12.83203125" bestFit="1" customWidth="1"/>
    <col min="37" max="37" width="12.6640625" bestFit="1" customWidth="1"/>
    <col min="38" max="38" width="11.1640625" bestFit="1" customWidth="1"/>
    <col min="39" max="39" width="10.33203125" bestFit="1" customWidth="1"/>
    <col min="40" max="40" width="10.5" bestFit="1" customWidth="1"/>
    <col min="41" max="41" width="11.1640625" bestFit="1" customWidth="1"/>
    <col min="42" max="42" width="10.33203125" bestFit="1" customWidth="1"/>
    <col min="43" max="43" width="10.5" bestFit="1" customWidth="1"/>
    <col min="44" max="45" width="8.33203125" bestFit="1" customWidth="1"/>
    <col min="46" max="46" width="10.33203125" bestFit="1" customWidth="1"/>
    <col min="47" max="48" width="8.33203125" bestFit="1" customWidth="1"/>
    <col min="49" max="49" width="10.33203125" bestFit="1" customWidth="1"/>
    <col min="50" max="51" width="8.33203125" bestFit="1" customWidth="1"/>
    <col min="52" max="52" width="10.33203125" bestFit="1" customWidth="1"/>
    <col min="53" max="54" width="8.33203125" bestFit="1" customWidth="1"/>
    <col min="55" max="55" width="10.33203125" bestFit="1" customWidth="1"/>
    <col min="56" max="57" width="8.33203125" bestFit="1" customWidth="1"/>
    <col min="58" max="58" width="10.33203125" bestFit="1" customWidth="1"/>
    <col min="59" max="60" width="8.33203125" bestFit="1" customWidth="1"/>
    <col min="61" max="61" width="10.33203125" bestFit="1" customWidth="1"/>
  </cols>
  <sheetData>
    <row r="1" spans="1:61" x14ac:dyDescent="0.2">
      <c r="A1" s="9">
        <v>38423</v>
      </c>
      <c r="E1" s="62" t="s">
        <v>42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 t="s">
        <v>23</v>
      </c>
      <c r="AJ1" s="62"/>
      <c r="AK1" s="62"/>
      <c r="AL1" s="62"/>
      <c r="AM1" s="62"/>
      <c r="AN1" s="62"/>
      <c r="AO1" s="62"/>
      <c r="AP1" s="62"/>
      <c r="AQ1" s="62"/>
      <c r="AR1" s="62" t="s">
        <v>22</v>
      </c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</row>
    <row r="2" spans="1:61" x14ac:dyDescent="0.2"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 t="s">
        <v>16</v>
      </c>
      <c r="AS2" s="62"/>
      <c r="AT2" s="62"/>
      <c r="AU2" s="62" t="s">
        <v>17</v>
      </c>
      <c r="AV2" s="62"/>
      <c r="AW2" s="62"/>
      <c r="AX2" s="62" t="s">
        <v>18</v>
      </c>
      <c r="AY2" s="62"/>
      <c r="AZ2" s="62"/>
      <c r="BA2" s="62" t="s">
        <v>19</v>
      </c>
      <c r="BB2" s="62"/>
      <c r="BC2" s="62"/>
      <c r="BD2" s="62" t="s">
        <v>20</v>
      </c>
      <c r="BE2" s="62"/>
      <c r="BF2" s="62"/>
      <c r="BG2" s="62" t="s">
        <v>21</v>
      </c>
      <c r="BH2" s="62"/>
      <c r="BI2" s="62"/>
    </row>
    <row r="3" spans="1:61" x14ac:dyDescent="0.2">
      <c r="A3" t="s">
        <v>0</v>
      </c>
      <c r="B3" s="2" t="s">
        <v>27</v>
      </c>
      <c r="C3" t="s">
        <v>1</v>
      </c>
      <c r="D3" t="s">
        <v>2</v>
      </c>
      <c r="E3" t="s">
        <v>43</v>
      </c>
      <c r="F3" t="s">
        <v>45</v>
      </c>
      <c r="G3" t="s">
        <v>49</v>
      </c>
      <c r="H3" t="s">
        <v>44</v>
      </c>
      <c r="I3" t="s">
        <v>50</v>
      </c>
      <c r="J3" t="s">
        <v>46</v>
      </c>
      <c r="K3" t="s">
        <v>51</v>
      </c>
      <c r="L3" t="s">
        <v>47</v>
      </c>
      <c r="M3" t="s">
        <v>52</v>
      </c>
      <c r="N3" t="s">
        <v>48</v>
      </c>
      <c r="O3" t="s">
        <v>53</v>
      </c>
      <c r="P3" t="s">
        <v>76</v>
      </c>
      <c r="Q3" t="s">
        <v>79</v>
      </c>
      <c r="R3" t="s">
        <v>73</v>
      </c>
      <c r="S3" t="s">
        <v>120</v>
      </c>
      <c r="T3" t="s">
        <v>121</v>
      </c>
      <c r="U3" t="s">
        <v>122</v>
      </c>
      <c r="V3" t="s">
        <v>123</v>
      </c>
      <c r="W3" t="s">
        <v>124</v>
      </c>
      <c r="X3" t="s">
        <v>125</v>
      </c>
      <c r="Y3" t="s">
        <v>126</v>
      </c>
      <c r="Z3" t="s">
        <v>127</v>
      </c>
      <c r="AA3" t="s">
        <v>128</v>
      </c>
      <c r="AB3" t="s">
        <v>129</v>
      </c>
      <c r="AC3" s="28" t="s">
        <v>130</v>
      </c>
      <c r="AD3" s="28" t="s">
        <v>133</v>
      </c>
      <c r="AE3" s="28" t="s">
        <v>134</v>
      </c>
      <c r="AF3" s="28" t="s">
        <v>135</v>
      </c>
      <c r="AG3" t="s">
        <v>101</v>
      </c>
      <c r="AI3" t="s">
        <v>40</v>
      </c>
      <c r="AJ3" t="s">
        <v>41</v>
      </c>
      <c r="AK3" t="s">
        <v>12</v>
      </c>
      <c r="AL3" t="s">
        <v>8</v>
      </c>
      <c r="AM3" t="s">
        <v>6</v>
      </c>
      <c r="AN3" t="s">
        <v>7</v>
      </c>
      <c r="AO3" t="s">
        <v>9</v>
      </c>
      <c r="AP3" t="s">
        <v>10</v>
      </c>
      <c r="AQ3" t="s">
        <v>11</v>
      </c>
      <c r="AR3" t="s">
        <v>14</v>
      </c>
      <c r="AS3" t="s">
        <v>15</v>
      </c>
      <c r="AT3" t="s">
        <v>13</v>
      </c>
      <c r="AU3" t="s">
        <v>14</v>
      </c>
      <c r="AV3" t="s">
        <v>15</v>
      </c>
      <c r="AW3" t="s">
        <v>13</v>
      </c>
      <c r="AX3" t="s">
        <v>14</v>
      </c>
      <c r="AY3" t="s">
        <v>15</v>
      </c>
      <c r="AZ3" t="s">
        <v>13</v>
      </c>
      <c r="BA3" t="s">
        <v>14</v>
      </c>
      <c r="BB3" t="s">
        <v>15</v>
      </c>
      <c r="BC3" t="s">
        <v>13</v>
      </c>
      <c r="BD3" t="s">
        <v>14</v>
      </c>
      <c r="BE3" t="s">
        <v>15</v>
      </c>
      <c r="BF3" t="s">
        <v>13</v>
      </c>
      <c r="BG3" t="s">
        <v>14</v>
      </c>
      <c r="BH3" t="s">
        <v>15</v>
      </c>
      <c r="BI3" t="s">
        <v>13</v>
      </c>
    </row>
    <row r="4" spans="1:61" s="3" customFormat="1" x14ac:dyDescent="0.2">
      <c r="A4" s="15">
        <v>43598</v>
      </c>
      <c r="B4" s="16">
        <v>10</v>
      </c>
      <c r="C4" s="3">
        <f>B4/7</f>
        <v>1.4285714285714286</v>
      </c>
      <c r="D4" s="3" t="s">
        <v>24</v>
      </c>
      <c r="E4" s="17">
        <v>8900</v>
      </c>
      <c r="F4" s="17">
        <v>24.4</v>
      </c>
      <c r="G4" s="18">
        <f>E4*(F4/100)</f>
        <v>2171.6</v>
      </c>
      <c r="H4" s="17">
        <v>52.9</v>
      </c>
      <c r="I4" s="18">
        <f>E4*(H4/100)</f>
        <v>4708.1000000000004</v>
      </c>
      <c r="J4" s="17">
        <v>20.5</v>
      </c>
      <c r="K4" s="18">
        <f>E4*(J4/100)</f>
        <v>1824.5</v>
      </c>
      <c r="L4" s="17">
        <v>0.7</v>
      </c>
      <c r="M4" s="18">
        <f>E4*(L4/100)</f>
        <v>62.29999999999999</v>
      </c>
      <c r="N4" s="17">
        <v>1.5</v>
      </c>
      <c r="O4" s="18">
        <f>E4*(N4/100)</f>
        <v>133.5</v>
      </c>
      <c r="P4" s="17">
        <v>309</v>
      </c>
      <c r="Q4" s="16">
        <f>(I4+K4)*(40/100)*(26.7/100)</f>
        <v>697.68168000000014</v>
      </c>
      <c r="R4">
        <f>(I4+K4)*(58/100)</f>
        <v>3788.9079999999999</v>
      </c>
      <c r="S4" s="3">
        <f>R4*(0.013/100)</f>
        <v>0.49255803999999992</v>
      </c>
      <c r="T4" s="3">
        <f>(I4+K4)*(40/100)*(2.76/100)</f>
        <v>72.119904000000005</v>
      </c>
      <c r="U4" s="3">
        <v>77.099999999999994</v>
      </c>
      <c r="V4" s="3">
        <f>(I4+K4)*(40/100)*(0.51/100)</f>
        <v>13.326504000000003</v>
      </c>
      <c r="W4">
        <v>18.899999999999999</v>
      </c>
      <c r="X4">
        <f>(72.2/(72.2+18.1+4.96))*100</f>
        <v>75.792567709426834</v>
      </c>
      <c r="Y4">
        <f>(18.1/(72.2+18.1+4.96))*100</f>
        <v>19.000629855133319</v>
      </c>
      <c r="Z4">
        <f>(4.96/(72.2+18.1+4.96))*100</f>
        <v>5.2068024354398483</v>
      </c>
      <c r="AA4">
        <f>0.36+0.026</f>
        <v>0.38600000000000001</v>
      </c>
      <c r="AB4">
        <f>14.6+0.04</f>
        <v>14.639999999999999</v>
      </c>
      <c r="AC4">
        <f>45.7+6.26</f>
        <v>51.96</v>
      </c>
      <c r="AD4">
        <f>88.4+0.36</f>
        <v>88.76</v>
      </c>
      <c r="AE4">
        <f>85.3+14.6</f>
        <v>99.899999999999991</v>
      </c>
      <c r="AF4">
        <f>38+45.7</f>
        <v>83.7</v>
      </c>
      <c r="AG4">
        <f>(I4+K4)*(40/100)*(68.3/100)*(4.7/100)*(3.18/100)</f>
        <v>2.6674220658720009</v>
      </c>
      <c r="AH4"/>
      <c r="AI4" s="17">
        <f>I4*(65.4/100)*(75.2/100)</f>
        <v>2315.4812448000002</v>
      </c>
      <c r="AJ4" s="17">
        <f>I4*(65.4/100)*(16.2/100)</f>
        <v>498.81377880000008</v>
      </c>
      <c r="AK4" s="3">
        <f t="shared" ref="AK4:AK9" si="0">AI4/AJ4</f>
        <v>4.6419753086419746</v>
      </c>
      <c r="AL4" s="3">
        <v>88</v>
      </c>
      <c r="AM4" s="3">
        <v>9.6199999999999992</v>
      </c>
      <c r="AN4" s="30">
        <v>7.0000000000000007E-2</v>
      </c>
      <c r="AO4" s="3">
        <v>65.099999999999994</v>
      </c>
      <c r="AP4" s="3">
        <v>8.01</v>
      </c>
      <c r="AQ4" s="3">
        <v>11.8</v>
      </c>
      <c r="AR4" s="3">
        <v>0.28999999999999998</v>
      </c>
      <c r="AS4" s="3">
        <v>3.76</v>
      </c>
      <c r="AT4" s="3">
        <v>3.5999999999999997E-2</v>
      </c>
      <c r="AU4" s="3">
        <v>6.44</v>
      </c>
      <c r="AV4" s="3">
        <v>26.7</v>
      </c>
      <c r="AW4" s="3">
        <v>1.65</v>
      </c>
      <c r="AX4" s="5">
        <v>5.21</v>
      </c>
      <c r="AY4" s="5">
        <v>72.900000000000006</v>
      </c>
      <c r="AZ4" s="5">
        <v>4.17</v>
      </c>
      <c r="BA4" s="3">
        <v>0.68</v>
      </c>
      <c r="BB4" s="3">
        <v>0.77</v>
      </c>
      <c r="BC4" s="3">
        <v>0.45</v>
      </c>
      <c r="BD4" s="3">
        <v>11</v>
      </c>
      <c r="BE4" s="3">
        <v>10.8</v>
      </c>
      <c r="BF4" s="3">
        <v>1.3</v>
      </c>
      <c r="BG4" s="3">
        <v>10.4</v>
      </c>
      <c r="BH4" s="3">
        <v>3.74</v>
      </c>
      <c r="BI4" s="3">
        <v>1.4</v>
      </c>
    </row>
    <row r="5" spans="1:61" s="3" customFormat="1" x14ac:dyDescent="0.2">
      <c r="A5" s="15">
        <v>43602</v>
      </c>
      <c r="B5" s="16">
        <f>B4+4</f>
        <v>14</v>
      </c>
      <c r="C5" s="3">
        <f t="shared" ref="C5:C18" si="1">B5/7</f>
        <v>2</v>
      </c>
      <c r="D5" s="3" t="s">
        <v>25</v>
      </c>
      <c r="E5" s="3">
        <v>12300</v>
      </c>
      <c r="F5" s="3">
        <v>45.9</v>
      </c>
      <c r="G5" s="16">
        <f t="shared" ref="G5:G18" si="2">E5*(F5/100)</f>
        <v>5645.7</v>
      </c>
      <c r="H5" s="3">
        <v>45</v>
      </c>
      <c r="I5" s="16">
        <f t="shared" ref="I5:I18" si="3">E5*(H5/100)</f>
        <v>5535</v>
      </c>
      <c r="J5" s="3">
        <v>7.3</v>
      </c>
      <c r="K5" s="16">
        <f t="shared" ref="K5:K18" si="4">E5*(J5/100)</f>
        <v>897.9</v>
      </c>
      <c r="L5" s="3">
        <v>0.8</v>
      </c>
      <c r="M5" s="16">
        <f t="shared" ref="M5:M18" si="5">E5*(L5/100)</f>
        <v>98.4</v>
      </c>
      <c r="N5" s="3">
        <v>1</v>
      </c>
      <c r="O5" s="16">
        <f t="shared" ref="O5:O18" si="6">E5*(N5/100)</f>
        <v>123</v>
      </c>
      <c r="P5" s="3">
        <v>454</v>
      </c>
      <c r="Q5" s="16">
        <f>(I5+K5)*(54.9/100)*(43.4/100)</f>
        <v>1532.7413513999998</v>
      </c>
      <c r="R5">
        <f>(I5+K5)*(43.4/100)</f>
        <v>2791.8786</v>
      </c>
      <c r="S5" s="3">
        <f>R5*(0.032/100)</f>
        <v>0.89340115200000003</v>
      </c>
      <c r="T5" s="3">
        <f>(I5+K5)*(54.9/100)*(2.7/100)</f>
        <v>95.354876700000005</v>
      </c>
      <c r="U5" s="3">
        <v>75.8</v>
      </c>
      <c r="V5" s="3">
        <f>(I5+K5)*(54.9/100)*(0.37/100)</f>
        <v>13.067149769999999</v>
      </c>
      <c r="W5">
        <v>28.7</v>
      </c>
      <c r="X5">
        <f>(70.7/(70.7+20.3+4.42))*100</f>
        <v>74.093481450429678</v>
      </c>
      <c r="Y5">
        <f>(20.3/(70.7+20.3+4.42))*100</f>
        <v>21.274365961014464</v>
      </c>
      <c r="Z5">
        <f>(4.42/(70.7+20.3+4.42))*100</f>
        <v>4.6321525885558579</v>
      </c>
      <c r="AA5">
        <f>0.45+0.15</f>
        <v>0.6</v>
      </c>
      <c r="AB5">
        <f>13.2+0.51</f>
        <v>13.709999999999999</v>
      </c>
      <c r="AC5">
        <f>31.3+29.5</f>
        <v>60.8</v>
      </c>
      <c r="AD5">
        <f>68.5+0.45</f>
        <v>68.95</v>
      </c>
      <c r="AE5">
        <f>85.6+13.2</f>
        <v>98.8</v>
      </c>
      <c r="AF5">
        <f>18.7+31.3</f>
        <v>50</v>
      </c>
      <c r="AG5">
        <f>(I5+K5)*(54.9/100)*(52.3/100)*(4.56/100)*(2.46/100)</f>
        <v>2.0719572160258073</v>
      </c>
      <c r="AI5" s="3">
        <f>I5*(46.5/100)*(76.7/100)</f>
        <v>1974.0854250000002</v>
      </c>
      <c r="AJ5" s="3">
        <f>I5*(46.5/100)*(15.9/100)</f>
        <v>409.23022500000002</v>
      </c>
      <c r="AK5" s="3">
        <f t="shared" si="0"/>
        <v>4.8238993710691824</v>
      </c>
      <c r="AL5" s="3">
        <v>86.5</v>
      </c>
      <c r="AM5" s="3">
        <v>11</v>
      </c>
      <c r="AN5" s="3">
        <v>9.7000000000000003E-2</v>
      </c>
      <c r="AO5" s="3">
        <v>68.599999999999994</v>
      </c>
      <c r="AP5" s="3">
        <v>6.63</v>
      </c>
      <c r="AQ5" s="3">
        <v>12.5</v>
      </c>
      <c r="AR5" s="3">
        <v>0.38</v>
      </c>
      <c r="AS5" s="3">
        <v>4</v>
      </c>
      <c r="AT5" s="3">
        <v>9.8000000000000004E-2</v>
      </c>
      <c r="AU5" s="3">
        <v>3.01</v>
      </c>
      <c r="AV5" s="3">
        <v>26.7</v>
      </c>
      <c r="AW5" s="3">
        <v>4.74</v>
      </c>
      <c r="AX5" s="5">
        <v>5.98</v>
      </c>
      <c r="AY5" s="5">
        <v>64.099999999999994</v>
      </c>
      <c r="AZ5" s="5">
        <v>4.2699999999999996</v>
      </c>
      <c r="BA5" s="3">
        <v>0.67</v>
      </c>
      <c r="BB5" s="3">
        <v>0.95</v>
      </c>
      <c r="BC5" s="3">
        <v>9.9000000000000005E-2</v>
      </c>
      <c r="BD5" s="3">
        <v>3.56</v>
      </c>
      <c r="BE5" s="3">
        <v>10.7</v>
      </c>
      <c r="BF5" s="3">
        <v>1.99</v>
      </c>
      <c r="BG5" s="3">
        <v>8.5299999999999994</v>
      </c>
      <c r="BH5" s="3">
        <v>2.08</v>
      </c>
      <c r="BI5" s="3">
        <v>0.74</v>
      </c>
    </row>
    <row r="6" spans="1:61" s="3" customFormat="1" x14ac:dyDescent="0.2">
      <c r="A6" s="15">
        <v>43608</v>
      </c>
      <c r="B6" s="16">
        <f>B4+10</f>
        <v>20</v>
      </c>
      <c r="C6" s="3">
        <f t="shared" si="1"/>
        <v>2.8571428571428572</v>
      </c>
      <c r="D6" s="3" t="s">
        <v>26</v>
      </c>
      <c r="E6" s="3">
        <v>9000</v>
      </c>
      <c r="F6" s="3">
        <v>38.5</v>
      </c>
      <c r="G6" s="16">
        <f t="shared" si="2"/>
        <v>3465</v>
      </c>
      <c r="H6" s="3">
        <v>53.2</v>
      </c>
      <c r="I6" s="16">
        <f t="shared" si="3"/>
        <v>4788</v>
      </c>
      <c r="J6" s="3">
        <v>6.8</v>
      </c>
      <c r="K6" s="16">
        <f t="shared" si="4"/>
        <v>612</v>
      </c>
      <c r="L6" s="3">
        <v>0.7</v>
      </c>
      <c r="M6" s="16">
        <f t="shared" si="5"/>
        <v>62.999999999999993</v>
      </c>
      <c r="N6" s="3">
        <v>0.8</v>
      </c>
      <c r="O6" s="16">
        <f t="shared" si="6"/>
        <v>72</v>
      </c>
      <c r="P6" s="3">
        <v>512</v>
      </c>
      <c r="Q6" s="16">
        <f>(I6+K6)*(43.4/100)*(61.4/100)</f>
        <v>1438.9703999999999</v>
      </c>
      <c r="R6">
        <f>(I6+K6)*(52/100)</f>
        <v>2808</v>
      </c>
      <c r="S6" s="3">
        <f>R6*(0.024/100)</f>
        <v>0.67391999999999996</v>
      </c>
      <c r="T6" s="3">
        <f>(I6+K6)*(43.4/100)*(5.2/100)</f>
        <v>121.86720000000001</v>
      </c>
      <c r="U6" s="3">
        <v>70.2</v>
      </c>
      <c r="V6" s="3">
        <f>(I6+K6)*(43.4/100)*(0.3/100)</f>
        <v>7.0308000000000002</v>
      </c>
      <c r="W6">
        <v>22.4</v>
      </c>
      <c r="X6">
        <f>(69.4/(69.4+18.4+3.77))*100</f>
        <v>75.789013869171129</v>
      </c>
      <c r="Y6">
        <f>(18.4/(69.4+18.4+3.77))*100</f>
        <v>20.093917221797529</v>
      </c>
      <c r="Z6">
        <f>(3.77/(69.4+18.4+3.77))*100</f>
        <v>4.1170689090313424</v>
      </c>
      <c r="AA6">
        <f>0.069+0.049</f>
        <v>0.11800000000000001</v>
      </c>
      <c r="AB6">
        <f>6.13+0.078</f>
        <v>6.2080000000000002</v>
      </c>
      <c r="AC6">
        <f>33+18.3</f>
        <v>51.3</v>
      </c>
      <c r="AD6">
        <f>57+0.069</f>
        <v>57.069000000000003</v>
      </c>
      <c r="AE6">
        <f>6.13+91.3</f>
        <v>97.429999999999993</v>
      </c>
      <c r="AF6">
        <f>33+32.9</f>
        <v>65.900000000000006</v>
      </c>
      <c r="AG6">
        <f>(I6+K6)*(43.4/100)*(31.9/100)*(8.38/100)*(0.78/100)</f>
        <v>0.48866675457600006</v>
      </c>
      <c r="AH6"/>
      <c r="AI6" s="3">
        <f>I6*(59.5/100)*(76.9/100)</f>
        <v>2190.7733399999997</v>
      </c>
      <c r="AJ6" s="3">
        <f>I6*(59.5/100)*(16.9/100)</f>
        <v>481.45733999999987</v>
      </c>
      <c r="AK6" s="3">
        <f t="shared" si="0"/>
        <v>4.550295857988166</v>
      </c>
      <c r="AL6" s="3">
        <v>86.9</v>
      </c>
      <c r="AM6" s="3">
        <v>9.4700000000000006</v>
      </c>
      <c r="AN6" s="30">
        <v>0.14000000000000001</v>
      </c>
      <c r="AO6" s="3">
        <v>74.900000000000006</v>
      </c>
      <c r="AP6" s="3">
        <v>7.99</v>
      </c>
      <c r="AQ6" s="3">
        <v>9.6</v>
      </c>
      <c r="AR6" s="3">
        <v>0.15</v>
      </c>
      <c r="AS6" s="3">
        <v>3.6</v>
      </c>
      <c r="AT6" s="3">
        <v>0.21</v>
      </c>
      <c r="AU6" s="3">
        <v>1.27</v>
      </c>
      <c r="AV6" s="3">
        <v>21.8</v>
      </c>
      <c r="AW6" s="3">
        <v>2.63</v>
      </c>
      <c r="AX6" s="5">
        <v>4.9400000000000004</v>
      </c>
      <c r="AY6" s="5">
        <v>55.6</v>
      </c>
      <c r="AZ6" s="5">
        <v>2.4700000000000002</v>
      </c>
      <c r="BA6" s="3">
        <v>0.36</v>
      </c>
      <c r="BB6" s="3">
        <v>0.59</v>
      </c>
      <c r="BC6" s="3">
        <v>0.83</v>
      </c>
      <c r="BD6" s="3">
        <v>2.67</v>
      </c>
      <c r="BE6" s="3">
        <v>3.91</v>
      </c>
      <c r="BF6" s="3">
        <v>6.44</v>
      </c>
      <c r="BG6" s="3">
        <v>17.2</v>
      </c>
      <c r="BH6" s="3">
        <v>1.61</v>
      </c>
      <c r="BI6" s="3">
        <v>7.92</v>
      </c>
    </row>
    <row r="7" spans="1:61" x14ac:dyDescent="0.2">
      <c r="A7" s="1">
        <v>43626</v>
      </c>
      <c r="B7" s="2">
        <f>B4+28</f>
        <v>38</v>
      </c>
      <c r="C7">
        <f t="shared" si="1"/>
        <v>5.4285714285714288</v>
      </c>
      <c r="D7" t="s">
        <v>33</v>
      </c>
      <c r="E7">
        <v>6700</v>
      </c>
      <c r="F7">
        <v>15.4</v>
      </c>
      <c r="G7" s="16">
        <f t="shared" si="2"/>
        <v>1031.8</v>
      </c>
      <c r="H7">
        <v>80.099999999999994</v>
      </c>
      <c r="I7" s="16">
        <f t="shared" si="3"/>
        <v>5366.7</v>
      </c>
      <c r="J7">
        <v>3.4</v>
      </c>
      <c r="K7" s="16">
        <f t="shared" si="4"/>
        <v>227.8</v>
      </c>
      <c r="L7">
        <v>0.5</v>
      </c>
      <c r="M7" s="16">
        <f t="shared" si="5"/>
        <v>33.5</v>
      </c>
      <c r="N7">
        <v>0.6</v>
      </c>
      <c r="O7" s="16">
        <f t="shared" si="6"/>
        <v>40.200000000000003</v>
      </c>
      <c r="P7">
        <v>493</v>
      </c>
      <c r="Q7" s="16">
        <f>(I7+K7)*(47.5/100)*(76.8/100)</f>
        <v>2040.8735999999999</v>
      </c>
      <c r="R7">
        <f>(I7+K7)*(48.6/100)</f>
        <v>2718.9270000000001</v>
      </c>
      <c r="S7" s="3">
        <f>R7*(0.052/100)</f>
        <v>1.41384204</v>
      </c>
      <c r="T7" s="3">
        <f>(I7+K7)*(47.5/100)*(2.96/100)</f>
        <v>78.658670000000001</v>
      </c>
      <c r="U7" s="3">
        <v>74.599999999999994</v>
      </c>
      <c r="V7" s="3">
        <f>(I7+K7)*(47.5/100)*(0.24/100)</f>
        <v>6.3777299999999988</v>
      </c>
      <c r="W7">
        <v>14.8</v>
      </c>
      <c r="X7">
        <f>(67.2/(67.2+16.8+8.68))*100</f>
        <v>72.507552870090635</v>
      </c>
      <c r="Y7">
        <f>(16.8/(67.2+16.8+8.68))*100</f>
        <v>18.126888217522659</v>
      </c>
      <c r="Z7">
        <f>(8.68/(67.2+16.8+8.68))*100</f>
        <v>9.3655589123867049</v>
      </c>
      <c r="AA7">
        <f>0.079+0.018</f>
        <v>9.7000000000000003E-2</v>
      </c>
      <c r="AB7">
        <f>8.64+0.56</f>
        <v>9.2000000000000011</v>
      </c>
      <c r="AC7">
        <f>24+24.7</f>
        <v>48.7</v>
      </c>
      <c r="AD7">
        <f>81.9+0.079</f>
        <v>81.978999999999999</v>
      </c>
      <c r="AE7">
        <f>89.9+8.64</f>
        <v>98.54</v>
      </c>
      <c r="AF7">
        <f>25.8+24</f>
        <v>49.8</v>
      </c>
      <c r="AG7">
        <f>(I7+K7)*(47.5/100)*(18.5/100)*(7.32/100)*(4.35/100)</f>
        <v>1.5654058563375</v>
      </c>
      <c r="AI7" s="3">
        <f>I7*(53.8/100)*(72.7/100)</f>
        <v>2099.0559041999995</v>
      </c>
      <c r="AJ7" s="3">
        <f>I7*(53.8/100)*(20.9/100)</f>
        <v>603.44248139999991</v>
      </c>
      <c r="AK7" s="3">
        <f t="shared" si="0"/>
        <v>3.4784688995215309</v>
      </c>
      <c r="AL7" s="3">
        <v>87.3</v>
      </c>
      <c r="AM7" s="3">
        <v>10.8</v>
      </c>
      <c r="AN7">
        <v>0.26</v>
      </c>
      <c r="AO7" s="3">
        <v>71.099999999999994</v>
      </c>
      <c r="AP7" s="3">
        <v>8.89</v>
      </c>
      <c r="AQ7" s="3">
        <v>13.7</v>
      </c>
      <c r="AR7" s="3">
        <v>0.14000000000000001</v>
      </c>
      <c r="AS7" s="3">
        <v>2.4900000000000002</v>
      </c>
      <c r="AT7" s="3">
        <v>0.18</v>
      </c>
      <c r="AU7" s="3">
        <v>0.77</v>
      </c>
      <c r="AV7" s="3">
        <v>11.8</v>
      </c>
      <c r="AW7" s="3">
        <v>1.95</v>
      </c>
      <c r="AX7" s="5">
        <v>1.41</v>
      </c>
      <c r="AY7" s="5">
        <v>27.6</v>
      </c>
      <c r="AZ7" s="5">
        <v>0.35</v>
      </c>
      <c r="BA7" s="3">
        <v>0.24</v>
      </c>
      <c r="BB7" s="3">
        <v>0.43</v>
      </c>
      <c r="BC7" s="3">
        <v>0.18</v>
      </c>
      <c r="BD7" s="3">
        <v>0.75</v>
      </c>
      <c r="BE7" s="3">
        <v>1.76</v>
      </c>
      <c r="BF7" s="3">
        <v>1.72</v>
      </c>
      <c r="BG7" s="3">
        <v>6.33</v>
      </c>
      <c r="BH7" s="3">
        <v>0.42</v>
      </c>
      <c r="BI7" s="3">
        <v>1.07</v>
      </c>
    </row>
    <row r="8" spans="1:61" x14ac:dyDescent="0.2">
      <c r="A8" s="1">
        <v>43640</v>
      </c>
      <c r="B8" s="2">
        <f>B4+6*7</f>
        <v>52</v>
      </c>
      <c r="C8">
        <f t="shared" si="1"/>
        <v>7.4285714285714288</v>
      </c>
      <c r="D8" t="s">
        <v>34</v>
      </c>
      <c r="E8">
        <v>8200</v>
      </c>
      <c r="F8">
        <v>23</v>
      </c>
      <c r="G8" s="16">
        <f t="shared" si="2"/>
        <v>1886</v>
      </c>
      <c r="H8">
        <v>72.8</v>
      </c>
      <c r="I8" s="16">
        <f t="shared" si="3"/>
        <v>5969.5999999999995</v>
      </c>
      <c r="J8">
        <v>3</v>
      </c>
      <c r="K8" s="16">
        <f t="shared" si="4"/>
        <v>246</v>
      </c>
      <c r="L8">
        <v>0.5</v>
      </c>
      <c r="M8" s="16">
        <f t="shared" si="5"/>
        <v>41</v>
      </c>
      <c r="N8">
        <v>0.7</v>
      </c>
      <c r="O8" s="16">
        <f t="shared" si="6"/>
        <v>57.399999999999991</v>
      </c>
      <c r="P8">
        <v>428</v>
      </c>
      <c r="Q8" s="16">
        <f>(I8+K8)*(44.9/100)*(79.8/100)</f>
        <v>2227.0619111999999</v>
      </c>
      <c r="R8">
        <f>(I8+K8)*(50/100)</f>
        <v>3107.7999999999997</v>
      </c>
      <c r="S8" s="3">
        <f>R8*(0.032/100)</f>
        <v>0.99449600000000005</v>
      </c>
      <c r="T8" s="3">
        <f>(I8+K8)*(44.9/100)*(3.85/100)</f>
        <v>107.4459694</v>
      </c>
      <c r="U8" s="3">
        <v>74.2</v>
      </c>
      <c r="V8" s="3">
        <f>(I8+K8)*(44.9/100)*(0.25/100)</f>
        <v>6.9770110000000001</v>
      </c>
      <c r="W8">
        <v>33.9</v>
      </c>
      <c r="X8">
        <f>(75/(75+9.23+7.01))*100</f>
        <v>82.200789127575618</v>
      </c>
      <c r="Y8">
        <f>(9.23/(75+9.23+7.01))*100</f>
        <v>10.116177115300307</v>
      </c>
      <c r="Z8">
        <f>(7.01/(75+9.23+7.01))*100</f>
        <v>7.6830337571240674</v>
      </c>
      <c r="AA8">
        <f>0.14+0.05</f>
        <v>0.19</v>
      </c>
      <c r="AB8">
        <f>7.44+0.78</f>
        <v>8.2200000000000006</v>
      </c>
      <c r="AC8">
        <f>11.5+39.1</f>
        <v>50.6</v>
      </c>
      <c r="AD8">
        <f>77+0.14</f>
        <v>77.14</v>
      </c>
      <c r="AE8">
        <f>90.5+7.44</f>
        <v>97.94</v>
      </c>
      <c r="AF8">
        <f>11.5+11.7</f>
        <v>23.2</v>
      </c>
      <c r="AG8">
        <f>(I8+K8)*(44.9/100)*(15.1/100)*(8.78/100)*(2.28/100)</f>
        <v>0.84359832589449568</v>
      </c>
      <c r="AI8" s="3">
        <f>I8*(54.4/100)*(73.4/100)</f>
        <v>2383.6374016000004</v>
      </c>
      <c r="AJ8" s="3">
        <f>I8*(54.4/100)*(20.5/100)</f>
        <v>665.72979199999997</v>
      </c>
      <c r="AK8" s="3">
        <f t="shared" si="0"/>
        <v>3.5804878048780497</v>
      </c>
      <c r="AL8" s="3">
        <v>88.9</v>
      </c>
      <c r="AM8" s="3">
        <v>8.5399999999999991</v>
      </c>
      <c r="AN8">
        <v>0.12</v>
      </c>
      <c r="AO8" s="3">
        <v>82.8</v>
      </c>
      <c r="AP8" s="3">
        <v>5.94</v>
      </c>
      <c r="AQ8" s="3">
        <v>4.9800000000000004</v>
      </c>
      <c r="AR8" s="3">
        <v>0.13</v>
      </c>
      <c r="AS8" s="3">
        <v>4.3</v>
      </c>
      <c r="AT8" s="3">
        <v>0.45</v>
      </c>
      <c r="AU8" s="3">
        <v>0.51</v>
      </c>
      <c r="AV8" s="3">
        <v>18.399999999999999</v>
      </c>
      <c r="AW8" s="3">
        <v>1.62</v>
      </c>
      <c r="AX8" s="5">
        <v>0</v>
      </c>
      <c r="AY8" s="5">
        <v>46.3</v>
      </c>
      <c r="AZ8" s="5">
        <v>5.88</v>
      </c>
      <c r="BA8" s="3">
        <v>0.17</v>
      </c>
      <c r="BB8" s="3">
        <v>0.95</v>
      </c>
      <c r="BC8" s="3">
        <v>0.4</v>
      </c>
      <c r="BD8" s="3">
        <v>1.07</v>
      </c>
      <c r="BE8" s="3">
        <v>3</v>
      </c>
      <c r="BF8" s="3">
        <v>1.93</v>
      </c>
      <c r="BG8" s="3">
        <v>7.67</v>
      </c>
      <c r="BH8" s="3">
        <v>1.0900000000000001</v>
      </c>
      <c r="BI8" s="3">
        <v>3.26</v>
      </c>
    </row>
    <row r="9" spans="1:61" x14ac:dyDescent="0.2">
      <c r="A9" s="1">
        <v>43654</v>
      </c>
      <c r="B9" s="2">
        <f>B4+8*7</f>
        <v>66</v>
      </c>
      <c r="C9">
        <f t="shared" si="1"/>
        <v>9.4285714285714288</v>
      </c>
      <c r="D9" t="s">
        <v>35</v>
      </c>
      <c r="E9">
        <v>7600</v>
      </c>
      <c r="F9">
        <v>28.7</v>
      </c>
      <c r="G9" s="16">
        <f t="shared" si="2"/>
        <v>2181.1999999999998</v>
      </c>
      <c r="H9">
        <v>68</v>
      </c>
      <c r="I9" s="16">
        <f t="shared" si="3"/>
        <v>5168</v>
      </c>
      <c r="J9">
        <v>2</v>
      </c>
      <c r="K9" s="16">
        <f t="shared" si="4"/>
        <v>152</v>
      </c>
      <c r="L9">
        <v>0.7</v>
      </c>
      <c r="M9" s="16">
        <f t="shared" si="5"/>
        <v>53.199999999999996</v>
      </c>
      <c r="N9">
        <v>0.6</v>
      </c>
      <c r="O9" s="16">
        <f t="shared" si="6"/>
        <v>45.6</v>
      </c>
      <c r="P9">
        <v>463</v>
      </c>
      <c r="Q9" s="16">
        <f>(I9+K9)*(46/100)*(81/100)</f>
        <v>1982.2320000000004</v>
      </c>
      <c r="R9">
        <f>(I9+K9)*(47.9/100)</f>
        <v>2548.2799999999997</v>
      </c>
      <c r="S9" s="3">
        <f>R9*(0.01/100)</f>
        <v>0.254828</v>
      </c>
      <c r="T9" s="3">
        <f>(I9+K9)*(46/100)*(4.47/100)</f>
        <v>109.38984000000001</v>
      </c>
      <c r="U9" s="3">
        <v>39.4</v>
      </c>
      <c r="V9" s="3">
        <f>(I9+K9)*(46/100)*(0.15/100)</f>
        <v>3.6708000000000003</v>
      </c>
      <c r="W9">
        <v>16.3</v>
      </c>
      <c r="X9">
        <f>(74/(74+4.35+11.3))*100</f>
        <v>82.543223647518133</v>
      </c>
      <c r="Y9">
        <f>(4.35/(74+4.35+11.3))*100</f>
        <v>4.8522030117122137</v>
      </c>
      <c r="Z9">
        <f>(11.3/(74+4.35+11.3))*100</f>
        <v>12.604573340769662</v>
      </c>
      <c r="AA9">
        <f>0.017+0.023</f>
        <v>0.04</v>
      </c>
      <c r="AB9">
        <f>0.49+0</f>
        <v>0.49</v>
      </c>
      <c r="AC9">
        <f>0.075+4.01</f>
        <v>4.085</v>
      </c>
      <c r="AD9">
        <f>39.5+0.017</f>
        <v>39.517000000000003</v>
      </c>
      <c r="AE9">
        <f>82.1+0.49</f>
        <v>82.589999999999989</v>
      </c>
      <c r="AF9">
        <f>2.21+0.075</f>
        <v>2.2850000000000001</v>
      </c>
      <c r="AG9">
        <f>(I9+K9)*(46/100)*(13.1/100)*(10.3/100)*(1.27/100)</f>
        <v>0.41935488392000009</v>
      </c>
      <c r="AI9" s="3">
        <f>I9*(57.8/100)*(74.2/100)</f>
        <v>2216.4311679999996</v>
      </c>
      <c r="AJ9" s="3">
        <f>I9*(57.8/100)*(19.8/100)</f>
        <v>591.44659200000001</v>
      </c>
      <c r="AK9" s="3">
        <f t="shared" si="0"/>
        <v>3.747474747474747</v>
      </c>
      <c r="AL9" s="3">
        <v>89.3</v>
      </c>
      <c r="AM9" s="3">
        <v>7.29</v>
      </c>
      <c r="AN9">
        <v>0.38</v>
      </c>
      <c r="AO9" s="3">
        <v>88.2</v>
      </c>
      <c r="AP9" s="3">
        <v>4.2</v>
      </c>
      <c r="AQ9" s="3">
        <v>3.48</v>
      </c>
      <c r="AR9" s="3">
        <v>0.14000000000000001</v>
      </c>
      <c r="AS9" s="3">
        <v>2.71</v>
      </c>
      <c r="AT9" s="3">
        <v>0.15</v>
      </c>
      <c r="AU9" s="3">
        <v>0.33</v>
      </c>
      <c r="AV9" s="3">
        <v>10.5</v>
      </c>
      <c r="AW9" s="3">
        <v>1.44</v>
      </c>
      <c r="AX9" s="5">
        <v>0.57999999999999996</v>
      </c>
      <c r="AY9" s="5">
        <v>23.7</v>
      </c>
      <c r="AZ9" s="5">
        <v>12.8</v>
      </c>
      <c r="BA9" s="3">
        <v>0.17</v>
      </c>
      <c r="BB9" s="3">
        <v>0.44</v>
      </c>
      <c r="BC9" s="3">
        <v>0.19</v>
      </c>
      <c r="BD9" s="3">
        <v>0.53</v>
      </c>
      <c r="BE9" s="3">
        <v>1.32</v>
      </c>
      <c r="BF9" s="3">
        <v>2.57</v>
      </c>
      <c r="BG9" s="3">
        <v>8.11</v>
      </c>
      <c r="BH9" s="3">
        <v>0.4</v>
      </c>
      <c r="BI9" s="3">
        <v>4.37</v>
      </c>
    </row>
    <row r="10" spans="1:61" x14ac:dyDescent="0.2">
      <c r="A10" s="1">
        <v>43668</v>
      </c>
      <c r="B10" s="2">
        <f>B4+70</f>
        <v>80</v>
      </c>
      <c r="C10">
        <f t="shared" si="1"/>
        <v>11.428571428571429</v>
      </c>
      <c r="D10" t="s">
        <v>36</v>
      </c>
      <c r="E10">
        <v>10300</v>
      </c>
      <c r="F10">
        <v>29.3</v>
      </c>
      <c r="G10" s="16">
        <f t="shared" si="2"/>
        <v>3017.8999999999996</v>
      </c>
      <c r="H10">
        <v>67</v>
      </c>
      <c r="I10" s="16">
        <f t="shared" si="3"/>
        <v>6901</v>
      </c>
      <c r="J10">
        <v>2.4</v>
      </c>
      <c r="K10" s="16">
        <f t="shared" si="4"/>
        <v>247.20000000000002</v>
      </c>
      <c r="L10">
        <v>0.7</v>
      </c>
      <c r="M10" s="16">
        <f t="shared" si="5"/>
        <v>72.099999999999994</v>
      </c>
      <c r="N10">
        <v>0.6</v>
      </c>
      <c r="O10" s="16">
        <f t="shared" si="6"/>
        <v>61.800000000000004</v>
      </c>
      <c r="P10">
        <v>590</v>
      </c>
      <c r="Q10" s="16">
        <f>(I10+K10)*(46.4/100)*(76.7/100)</f>
        <v>2543.9586015999998</v>
      </c>
      <c r="R10">
        <f>(I10+K10)*(51.5/100)</f>
        <v>3681.3229999999999</v>
      </c>
      <c r="S10" s="3">
        <f>R10*(0.013/100)</f>
        <v>0.47857198999999995</v>
      </c>
      <c r="T10" s="3">
        <f>(I10+K10)*(46.4/100)*(4.55/100)</f>
        <v>150.91279839999999</v>
      </c>
      <c r="U10" s="3">
        <v>76.8</v>
      </c>
      <c r="V10" s="3">
        <f>(I10+K10)*(46.4/100)*(0.16/100)</f>
        <v>5.306823679999999</v>
      </c>
      <c r="W10">
        <v>23.3</v>
      </c>
      <c r="X10">
        <f>(82.7/(82.7+1.92+4.11))*100</f>
        <v>93.204102332920087</v>
      </c>
      <c r="Y10">
        <f>(1.92/(82.7+1.92+4.11))*100</f>
        <v>2.1638679138960892</v>
      </c>
      <c r="Z10">
        <f>(4.11/(82.7+1.92+4.11))*100</f>
        <v>4.6320297531838159</v>
      </c>
      <c r="AA10">
        <f>0.00265+0.00265</f>
        <v>5.3E-3</v>
      </c>
      <c r="AB10">
        <f>3.2+2.28</f>
        <v>5.48</v>
      </c>
      <c r="AC10">
        <f>0.16+44.8</f>
        <v>44.959999999999994</v>
      </c>
      <c r="AD10">
        <f>18.1+0.00265</f>
        <v>18.102650000000001</v>
      </c>
      <c r="AE10">
        <f>78+3.2</f>
        <v>81.2</v>
      </c>
      <c r="AF10">
        <f>0.96+0.16</f>
        <v>1.1199999999999999</v>
      </c>
      <c r="AG10">
        <f>(I10+K10)*(46.4/100)*(18/100)*(11.3/100)*(0.8/100)</f>
        <v>0.53970396825599998</v>
      </c>
      <c r="AI10" s="3">
        <f>I10*(57.1/100)*(70.5/100)</f>
        <v>2778.0320550000001</v>
      </c>
      <c r="AJ10" s="3">
        <f>I10*(57.1/100)*(23.6/100)</f>
        <v>929.9511560000002</v>
      </c>
      <c r="AK10" s="3">
        <f t="shared" ref="AK10" si="7">AI10/AJ10</f>
        <v>2.9872881355932197</v>
      </c>
      <c r="AL10" s="3">
        <v>86.1</v>
      </c>
      <c r="AM10" s="3">
        <v>9.8699999999999992</v>
      </c>
      <c r="AN10">
        <v>0.66</v>
      </c>
      <c r="AO10" s="3">
        <v>76</v>
      </c>
      <c r="AP10" s="3">
        <v>6.61</v>
      </c>
      <c r="AQ10" s="3">
        <v>8</v>
      </c>
      <c r="AR10" s="3">
        <v>0.11</v>
      </c>
      <c r="AS10" s="3">
        <v>1.69</v>
      </c>
      <c r="AT10" s="3">
        <v>0.15</v>
      </c>
      <c r="AU10" s="3">
        <v>0.37</v>
      </c>
      <c r="AV10" s="3">
        <v>6.85</v>
      </c>
      <c r="AW10" s="3">
        <v>0.55000000000000004</v>
      </c>
      <c r="AX10" s="5">
        <v>0.72</v>
      </c>
      <c r="AY10" s="5">
        <v>15.3</v>
      </c>
      <c r="AZ10" s="5">
        <v>3.92</v>
      </c>
      <c r="BA10" s="3">
        <v>0.15</v>
      </c>
      <c r="BB10" s="3">
        <v>0.24</v>
      </c>
      <c r="BC10" s="3">
        <v>0.41</v>
      </c>
      <c r="BD10" s="3">
        <v>0.56999999999999995</v>
      </c>
      <c r="BE10" s="3">
        <v>0.89</v>
      </c>
      <c r="BF10" s="3">
        <v>1.58</v>
      </c>
      <c r="BG10" s="3">
        <v>3.32</v>
      </c>
      <c r="BH10" s="3">
        <v>0.42</v>
      </c>
      <c r="BI10" s="3">
        <v>1.82</v>
      </c>
    </row>
    <row r="11" spans="1:61" x14ac:dyDescent="0.2">
      <c r="A11" s="1">
        <v>43682</v>
      </c>
      <c r="B11" s="2">
        <f>B4+7*12</f>
        <v>94</v>
      </c>
      <c r="C11">
        <f t="shared" si="1"/>
        <v>13.428571428571429</v>
      </c>
      <c r="D11" t="s">
        <v>37</v>
      </c>
      <c r="E11">
        <v>7200</v>
      </c>
      <c r="F11">
        <v>28.2</v>
      </c>
      <c r="G11" s="16">
        <f t="shared" si="2"/>
        <v>2030.3999999999999</v>
      </c>
      <c r="H11">
        <v>68.400000000000006</v>
      </c>
      <c r="I11" s="16">
        <f t="shared" si="3"/>
        <v>4924.8</v>
      </c>
      <c r="J11">
        <v>2.4</v>
      </c>
      <c r="K11" s="16">
        <f t="shared" si="4"/>
        <v>172.8</v>
      </c>
      <c r="L11">
        <v>0.4</v>
      </c>
      <c r="M11" s="16">
        <f t="shared" si="5"/>
        <v>28.8</v>
      </c>
      <c r="N11">
        <v>0.6</v>
      </c>
      <c r="O11" s="16">
        <f t="shared" si="6"/>
        <v>43.2</v>
      </c>
      <c r="P11">
        <v>486</v>
      </c>
      <c r="Q11" s="16">
        <f>(I11+K11)*(46.5/100)*(81/100)</f>
        <v>1920.0110400000005</v>
      </c>
      <c r="R11">
        <f>(I11+K11)*(50.6/100)</f>
        <v>2579.3856000000001</v>
      </c>
      <c r="S11" s="3">
        <f>R11*(0.022/100)</f>
        <v>0.56746483199999997</v>
      </c>
      <c r="T11" s="3">
        <f>(I11+K11)*(46.5/100)*(4.87/100)</f>
        <v>115.43770080000003</v>
      </c>
      <c r="U11" s="3">
        <v>68.7</v>
      </c>
      <c r="V11" s="3">
        <f>(I11+K11)*(46.5/100)*(0.36/100)</f>
        <v>8.5333824000000007</v>
      </c>
      <c r="W11">
        <v>22.7</v>
      </c>
      <c r="X11">
        <f>(69.1/(69.1+4.09+11.1))*100</f>
        <v>81.978882429706971</v>
      </c>
      <c r="Y11">
        <f>(4.09/(69.1+4.09+11.1))*100</f>
        <v>4.8522956459841025</v>
      </c>
      <c r="Z11">
        <f>(11.1/(69.1+4.09+11.1))*100</f>
        <v>13.168821924308935</v>
      </c>
      <c r="AA11">
        <f>0.019</f>
        <v>1.9E-2</v>
      </c>
      <c r="AB11">
        <f>0.54+4.45</f>
        <v>4.99</v>
      </c>
      <c r="AC11">
        <f>0.12+45.1</f>
        <v>45.22</v>
      </c>
      <c r="AD11">
        <f>13.9</f>
        <v>13.9</v>
      </c>
      <c r="AE11">
        <f>53.9+0.54</f>
        <v>54.44</v>
      </c>
      <c r="AF11">
        <f>0.12+0.52</f>
        <v>0.64</v>
      </c>
      <c r="AG11">
        <f>(I11+K11)*(46.5/100)*(4.87/100)*(15.7/100)*(0.96/100)</f>
        <v>0.17398770264576002</v>
      </c>
      <c r="AI11" s="3">
        <f>I11*(56.8/100)*(71.2/100)</f>
        <v>1991.6679168000003</v>
      </c>
      <c r="AJ11" s="3">
        <f>I11*(56.8/100)*(22.3/100)</f>
        <v>623.7948672</v>
      </c>
      <c r="AK11" s="3">
        <f t="shared" ref="AK11:AK14" si="8">AI11/AJ11</f>
        <v>3.1928251121076237</v>
      </c>
      <c r="AL11" s="3">
        <v>78.2</v>
      </c>
      <c r="AM11" s="3">
        <v>13.7</v>
      </c>
      <c r="AN11">
        <v>1.35</v>
      </c>
      <c r="AO11" s="3">
        <v>78.599999999999994</v>
      </c>
      <c r="AP11" s="3">
        <v>7.21</v>
      </c>
      <c r="AQ11" s="3">
        <v>6.65</v>
      </c>
      <c r="AR11" s="3">
        <v>0.22</v>
      </c>
      <c r="AS11" s="3">
        <v>1.36</v>
      </c>
      <c r="AT11" s="3">
        <v>0.18</v>
      </c>
      <c r="AU11" s="3">
        <v>0.8</v>
      </c>
      <c r="AV11" s="3">
        <v>6.62</v>
      </c>
      <c r="AW11" s="3">
        <v>2.0099999999999998</v>
      </c>
      <c r="AX11" s="5">
        <v>1.57</v>
      </c>
      <c r="AY11" s="5">
        <v>11.4</v>
      </c>
      <c r="AZ11" s="5">
        <v>2.15</v>
      </c>
      <c r="BA11" s="3">
        <v>0.2</v>
      </c>
      <c r="BB11" s="3">
        <v>0.21</v>
      </c>
      <c r="BC11" s="3">
        <v>0.17</v>
      </c>
      <c r="BD11" s="3">
        <v>0.94</v>
      </c>
      <c r="BE11" s="3">
        <v>0.87</v>
      </c>
      <c r="BF11" s="3">
        <v>2.12</v>
      </c>
      <c r="BG11" s="3">
        <v>5.45</v>
      </c>
      <c r="BH11" s="3">
        <v>0.11</v>
      </c>
      <c r="BI11" s="3">
        <v>3.12</v>
      </c>
    </row>
    <row r="12" spans="1:61" x14ac:dyDescent="0.2">
      <c r="A12" s="1">
        <v>43696</v>
      </c>
      <c r="B12" s="2">
        <f>B4+7*14</f>
        <v>108</v>
      </c>
      <c r="C12">
        <f t="shared" si="1"/>
        <v>15.428571428571429</v>
      </c>
      <c r="D12" t="s">
        <v>80</v>
      </c>
      <c r="E12">
        <v>8600</v>
      </c>
      <c r="F12">
        <v>27.1</v>
      </c>
      <c r="G12" s="16">
        <f t="shared" si="2"/>
        <v>2330.6000000000004</v>
      </c>
      <c r="H12">
        <v>69.3</v>
      </c>
      <c r="I12" s="16">
        <f t="shared" si="3"/>
        <v>5959.7999999999993</v>
      </c>
      <c r="J12">
        <v>2.4</v>
      </c>
      <c r="K12" s="16">
        <f t="shared" si="4"/>
        <v>206.4</v>
      </c>
      <c r="L12">
        <v>0.6</v>
      </c>
      <c r="M12" s="16">
        <f t="shared" si="5"/>
        <v>51.6</v>
      </c>
      <c r="N12">
        <v>0.6</v>
      </c>
      <c r="O12" s="16">
        <f t="shared" si="6"/>
        <v>51.6</v>
      </c>
      <c r="P12">
        <v>547</v>
      </c>
      <c r="Q12" s="16">
        <f>(I12+K12)*(32.9/100)*(76.6/100)</f>
        <v>1553.9687267999993</v>
      </c>
      <c r="R12">
        <f>(I12+K12)*(66.1/100)</f>
        <v>4075.8581999999988</v>
      </c>
      <c r="S12" s="3">
        <f>R12*(0.051/100)</f>
        <v>2.0786876819999991</v>
      </c>
      <c r="T12" s="3">
        <f>(I12+K12)*(32.9/100)*(5.69/100)</f>
        <v>115.43188061999999</v>
      </c>
      <c r="U12" s="3">
        <v>85.1</v>
      </c>
      <c r="V12" s="3">
        <f>(I12+K12)*(32.9/100)*(0.39/100)</f>
        <v>7.9118512199999982</v>
      </c>
      <c r="W12">
        <v>39.9</v>
      </c>
      <c r="X12">
        <f>(71.1/(71.1+1.77+10.1))*100</f>
        <v>85.693624201518631</v>
      </c>
      <c r="Y12">
        <f>(1.77/(71.1+1.77+10.1))*100</f>
        <v>2.1333011932023629</v>
      </c>
      <c r="Z12">
        <f>(10.1/(71.1+1.77+10.1))*100</f>
        <v>12.17307460527902</v>
      </c>
      <c r="AA12">
        <f>0.049+0.025</f>
        <v>7.400000000000001E-2</v>
      </c>
      <c r="AB12">
        <f>19.8+6.93</f>
        <v>26.73</v>
      </c>
      <c r="AC12">
        <f>10.7+82.5</f>
        <v>93.2</v>
      </c>
      <c r="AD12">
        <f>63+0.049</f>
        <v>63.048999999999999</v>
      </c>
      <c r="AE12">
        <f>19.8+70.8</f>
        <v>90.6</v>
      </c>
      <c r="AF12">
        <f>1.46+10.7</f>
        <v>12.16</v>
      </c>
      <c r="AG12">
        <f>(I12+K12)*(32.9/100)*(15.7/100)*(17/100)*(3.45/100)</f>
        <v>1.8680185032389998</v>
      </c>
      <c r="AI12" s="3">
        <f>I12*(65.9/100)*(69.7/100)</f>
        <v>2737.4732154000003</v>
      </c>
      <c r="AJ12" s="3">
        <f>I12*(65.9/100)*(24.4/100)</f>
        <v>958.31200079999996</v>
      </c>
      <c r="AK12" s="3">
        <f t="shared" si="8"/>
        <v>2.8565573770491808</v>
      </c>
      <c r="AL12" s="3">
        <v>82.7</v>
      </c>
      <c r="AM12" s="3">
        <v>10.5</v>
      </c>
      <c r="AN12">
        <v>1.1200000000000001</v>
      </c>
      <c r="AO12" s="3">
        <v>78.8</v>
      </c>
      <c r="AP12" s="3">
        <v>6.51</v>
      </c>
      <c r="AQ12" s="3">
        <v>6.5</v>
      </c>
      <c r="AR12" s="3">
        <v>0.2</v>
      </c>
      <c r="AS12" s="3">
        <v>0.81</v>
      </c>
      <c r="AT12" s="3">
        <v>0.17</v>
      </c>
      <c r="AU12" s="3">
        <v>1.06</v>
      </c>
      <c r="AV12" s="3">
        <v>5.25</v>
      </c>
      <c r="AW12" s="3">
        <v>1.07</v>
      </c>
      <c r="AX12" s="5">
        <v>1</v>
      </c>
      <c r="AY12" s="5">
        <v>9.57</v>
      </c>
      <c r="AZ12" s="5">
        <v>4.05</v>
      </c>
      <c r="BA12" s="3">
        <v>0.21</v>
      </c>
      <c r="BB12" s="3">
        <v>0.15</v>
      </c>
      <c r="BC12" s="3">
        <v>0.3</v>
      </c>
      <c r="BD12" s="3">
        <v>1.08</v>
      </c>
      <c r="BE12" s="3">
        <v>0.75</v>
      </c>
      <c r="BF12" s="3">
        <v>1.83</v>
      </c>
      <c r="BG12" s="3">
        <v>7.19</v>
      </c>
      <c r="BH12" s="3">
        <v>0.13</v>
      </c>
      <c r="BI12" s="3">
        <v>3.15</v>
      </c>
    </row>
    <row r="13" spans="1:61" x14ac:dyDescent="0.2">
      <c r="A13" s="1">
        <v>43700</v>
      </c>
      <c r="B13" s="2">
        <f>B12+4</f>
        <v>112</v>
      </c>
      <c r="C13">
        <f t="shared" si="1"/>
        <v>16</v>
      </c>
      <c r="D13" t="s">
        <v>29</v>
      </c>
      <c r="E13">
        <v>9200</v>
      </c>
      <c r="F13">
        <v>40.6</v>
      </c>
      <c r="G13" s="16">
        <f t="shared" si="2"/>
        <v>3735.2000000000003</v>
      </c>
      <c r="H13">
        <v>53.6</v>
      </c>
      <c r="I13" s="16">
        <f t="shared" si="3"/>
        <v>4931.2000000000007</v>
      </c>
      <c r="J13">
        <v>4.5</v>
      </c>
      <c r="K13" s="16">
        <f t="shared" si="4"/>
        <v>414</v>
      </c>
      <c r="L13">
        <v>0.6</v>
      </c>
      <c r="M13" s="16">
        <f t="shared" si="5"/>
        <v>55.2</v>
      </c>
      <c r="N13">
        <v>0.7</v>
      </c>
      <c r="O13" s="16">
        <f t="shared" si="6"/>
        <v>64.399999999999991</v>
      </c>
      <c r="P13">
        <v>387</v>
      </c>
      <c r="Q13" s="16">
        <f>(I13+K13)*(40/100)*(65.4/100)</f>
        <v>1398.3043200000004</v>
      </c>
      <c r="R13">
        <f>(I13+K13)*(57.9/100)</f>
        <v>3094.8708000000001</v>
      </c>
      <c r="S13" s="3">
        <f>R13*(0.015/100)</f>
        <v>0.46423061999999998</v>
      </c>
      <c r="T13" s="3">
        <f>(I13+K13)*(40/100)*(4.93/100)</f>
        <v>105.40734400000001</v>
      </c>
      <c r="U13" s="3">
        <v>79.8</v>
      </c>
      <c r="V13" s="3">
        <f>(I13+K13)*(40/100)*(0.32/100)</f>
        <v>6.8418560000000017</v>
      </c>
      <c r="W13">
        <v>24</v>
      </c>
      <c r="X13">
        <f>(59.8/(59.8+14.2+14.3))*100</f>
        <v>67.723669309173275</v>
      </c>
      <c r="Y13">
        <f>(14.2/(59.8+14.2+14.3))*100</f>
        <v>16.081540203850508</v>
      </c>
      <c r="Z13">
        <f>(14.3/(59.8+14.2+14.3))*100</f>
        <v>16.194790486976217</v>
      </c>
      <c r="AA13">
        <f>0.03+0.059</f>
        <v>8.8999999999999996E-2</v>
      </c>
      <c r="AB13">
        <f>6.44+2.97</f>
        <v>9.41</v>
      </c>
      <c r="AC13">
        <f>6.46+39.9</f>
        <v>46.36</v>
      </c>
      <c r="AD13">
        <f>17.1+0.03</f>
        <v>17.130000000000003</v>
      </c>
      <c r="AE13">
        <f>77.6+6.44</f>
        <v>84.039999999999992</v>
      </c>
      <c r="AF13">
        <f>6.46+11.2</f>
        <v>17.66</v>
      </c>
      <c r="AG13">
        <f>(I13+K13)*(40/100)*(27.9/100)*(11.8/100)*(0.34/100)</f>
        <v>0.239325557184</v>
      </c>
      <c r="AI13" s="3">
        <f>I13*(68.3/100)*(72.8/100)</f>
        <v>2451.9109888000003</v>
      </c>
      <c r="AJ13" s="3">
        <f>I13*(68.3/100)*(21.2/100)</f>
        <v>714.0180352000001</v>
      </c>
      <c r="AK13" s="3">
        <f t="shared" si="8"/>
        <v>3.4339622641509431</v>
      </c>
      <c r="AL13" s="3">
        <v>80.8</v>
      </c>
      <c r="AM13" s="3">
        <v>11.7</v>
      </c>
      <c r="AN13">
        <v>1.03</v>
      </c>
      <c r="AO13" s="3">
        <v>79.099999999999994</v>
      </c>
      <c r="AP13" s="3">
        <v>7.24</v>
      </c>
      <c r="AQ13" s="3">
        <v>4.9400000000000004</v>
      </c>
      <c r="AR13" s="3">
        <v>0.32</v>
      </c>
      <c r="AS13" s="3">
        <v>1.66</v>
      </c>
      <c r="AT13" s="3">
        <v>0.38</v>
      </c>
      <c r="AU13" s="3">
        <v>4.6500000000000004</v>
      </c>
      <c r="AV13" s="3">
        <v>9.2799999999999994</v>
      </c>
      <c r="AW13" s="3">
        <v>2.09</v>
      </c>
      <c r="AX13" s="5">
        <v>3.89</v>
      </c>
      <c r="AY13" s="5">
        <v>18.2</v>
      </c>
      <c r="AZ13" s="5">
        <v>3.41</v>
      </c>
      <c r="BA13" s="3">
        <v>0.49</v>
      </c>
      <c r="BB13" s="3">
        <v>0.3</v>
      </c>
      <c r="BC13" s="3">
        <v>0.41</v>
      </c>
      <c r="BD13" s="3">
        <v>6.58</v>
      </c>
      <c r="BE13" s="3">
        <v>1.72</v>
      </c>
      <c r="BF13" s="3">
        <v>2.61</v>
      </c>
      <c r="BG13" s="3">
        <v>15.9</v>
      </c>
      <c r="BH13" s="3">
        <v>0.43</v>
      </c>
      <c r="BI13" s="3">
        <v>3.39</v>
      </c>
    </row>
    <row r="14" spans="1:61" x14ac:dyDescent="0.2">
      <c r="A14" s="1">
        <v>43706</v>
      </c>
      <c r="B14" s="2">
        <f>B12+10</f>
        <v>118</v>
      </c>
      <c r="C14">
        <f t="shared" si="1"/>
        <v>16.857142857142858</v>
      </c>
      <c r="D14" t="s">
        <v>30</v>
      </c>
      <c r="E14">
        <v>4300</v>
      </c>
      <c r="F14">
        <v>29.4</v>
      </c>
      <c r="G14" s="16">
        <f t="shared" si="2"/>
        <v>1264.1999999999998</v>
      </c>
      <c r="H14">
        <v>63.8</v>
      </c>
      <c r="I14" s="16">
        <f t="shared" si="3"/>
        <v>2743.4</v>
      </c>
      <c r="J14">
        <v>5.7</v>
      </c>
      <c r="K14" s="16">
        <f t="shared" si="4"/>
        <v>245.10000000000002</v>
      </c>
      <c r="L14">
        <v>0.7</v>
      </c>
      <c r="M14" s="16">
        <f t="shared" si="5"/>
        <v>30.099999999999998</v>
      </c>
      <c r="N14">
        <v>0.4</v>
      </c>
      <c r="O14" s="16">
        <f t="shared" si="6"/>
        <v>17.2</v>
      </c>
      <c r="P14">
        <v>331</v>
      </c>
      <c r="Q14" s="16">
        <f>(I14+K14)*(34.2/100)*(60.2/100)</f>
        <v>615.28433400000006</v>
      </c>
      <c r="R14">
        <f>(I14+K14)*(63.4/100)</f>
        <v>1894.7090000000001</v>
      </c>
      <c r="S14" s="3">
        <f>R14*(0.014/100)</f>
        <v>0.26525926000000005</v>
      </c>
      <c r="T14" s="3">
        <f>(I14+K14)*(34.2/100)*(6.01/100)</f>
        <v>61.426226700000008</v>
      </c>
      <c r="U14" s="3">
        <v>80.900000000000006</v>
      </c>
      <c r="V14" s="3">
        <f>(I14+K14)*(34.2/100)*(0.86/100)</f>
        <v>8.7897762000000004</v>
      </c>
      <c r="W14">
        <v>44</v>
      </c>
      <c r="X14">
        <f>(38.3/(38.3+16.8+16.4))*100</f>
        <v>53.56643356643356</v>
      </c>
      <c r="Y14">
        <f>(16.8/(38.3+16.8+16.4))*100</f>
        <v>23.4965034965035</v>
      </c>
      <c r="Z14">
        <f>(16.4/(38.3+16.8+16.4))*100</f>
        <v>22.937062937062937</v>
      </c>
      <c r="AA14">
        <f>0.012+0.012</f>
        <v>2.4E-2</v>
      </c>
      <c r="AB14">
        <f>4.5+1.43</f>
        <v>5.93</v>
      </c>
      <c r="AC14">
        <f>11.8+33.4</f>
        <v>45.2</v>
      </c>
      <c r="AD14">
        <f>18.6+0.012</f>
        <v>18.612000000000002</v>
      </c>
      <c r="AE14">
        <f>76+4.5</f>
        <v>80.5</v>
      </c>
      <c r="AF14">
        <f>27.2+11.8</f>
        <v>39</v>
      </c>
      <c r="AG14">
        <f>(I14+K14)*(34.2/100)*(31.1/100)*(28.5/100)*(0.16/100)</f>
        <v>0.14494545367199999</v>
      </c>
      <c r="AI14" s="3">
        <f>I14*(68.3/100)*(74.1/100)</f>
        <v>1388.4429702</v>
      </c>
      <c r="AJ14" s="3">
        <f>I14*(68.3/100)*(18.3/100)</f>
        <v>342.8948226</v>
      </c>
      <c r="AK14" s="3">
        <f t="shared" si="8"/>
        <v>4.0491803278688527</v>
      </c>
      <c r="AL14" s="3">
        <v>82.3</v>
      </c>
      <c r="AM14" s="3">
        <v>9.07</v>
      </c>
      <c r="AN14">
        <v>1.24</v>
      </c>
      <c r="AO14" s="3">
        <v>69.5</v>
      </c>
      <c r="AP14" s="3">
        <v>10.6</v>
      </c>
      <c r="AQ14" s="3">
        <v>9.15</v>
      </c>
      <c r="AR14" s="3">
        <v>0.78</v>
      </c>
      <c r="AS14" s="3">
        <v>2.0299999999999998</v>
      </c>
      <c r="AT14" s="3">
        <v>7.4999999999999997E-2</v>
      </c>
      <c r="AU14" s="3">
        <v>1.1100000000000001</v>
      </c>
      <c r="AV14" s="3">
        <v>2.4300000000000002</v>
      </c>
      <c r="AW14" s="3">
        <v>1.25</v>
      </c>
      <c r="AX14" s="5">
        <v>2.88</v>
      </c>
      <c r="AY14" s="5">
        <v>28.4</v>
      </c>
      <c r="AZ14" s="5">
        <v>1.73</v>
      </c>
      <c r="BA14" s="3">
        <v>1.59</v>
      </c>
      <c r="BB14" s="3">
        <v>0.45</v>
      </c>
      <c r="BC14" s="3">
        <v>0.72</v>
      </c>
      <c r="BD14" s="3">
        <v>2.5299999999999998</v>
      </c>
      <c r="BE14" s="3">
        <v>1.67</v>
      </c>
      <c r="BF14" s="3">
        <v>3.75</v>
      </c>
      <c r="BG14" s="3">
        <v>27.5</v>
      </c>
      <c r="BH14" s="3">
        <v>0.52</v>
      </c>
      <c r="BI14" s="3">
        <v>4.92</v>
      </c>
    </row>
    <row r="15" spans="1:61" x14ac:dyDescent="0.2">
      <c r="A15" s="1">
        <v>43724</v>
      </c>
      <c r="B15" s="2">
        <f>B12+7*4</f>
        <v>136</v>
      </c>
      <c r="C15">
        <f t="shared" si="1"/>
        <v>19.428571428571427</v>
      </c>
      <c r="D15" t="s">
        <v>31</v>
      </c>
      <c r="E15">
        <v>7700</v>
      </c>
      <c r="F15">
        <v>32.6</v>
      </c>
      <c r="G15" s="16">
        <f t="shared" si="2"/>
        <v>2510.2000000000003</v>
      </c>
      <c r="H15">
        <v>62.4</v>
      </c>
      <c r="I15" s="16">
        <f t="shared" si="3"/>
        <v>4804.8</v>
      </c>
      <c r="J15">
        <v>4.0999999999999996</v>
      </c>
      <c r="K15" s="16">
        <f t="shared" si="4"/>
        <v>315.69999999999993</v>
      </c>
      <c r="L15">
        <v>0.3</v>
      </c>
      <c r="M15" s="16">
        <f t="shared" si="5"/>
        <v>23.1</v>
      </c>
      <c r="N15">
        <v>0.6</v>
      </c>
      <c r="O15" s="16">
        <f t="shared" si="6"/>
        <v>46.2</v>
      </c>
      <c r="P15">
        <v>547</v>
      </c>
      <c r="Q15" s="16">
        <f>(I15+K15)*(46.1/100)*(55.3/100)</f>
        <v>1305.3844265</v>
      </c>
      <c r="R15">
        <f>(I15+K15)*(49.6/100)</f>
        <v>2539.768</v>
      </c>
      <c r="S15" s="3">
        <f>R15*(0.029/100)</f>
        <v>0.73653272000000003</v>
      </c>
      <c r="T15" s="3">
        <f>(I15+K15)*(46.1/100)*(14.4/100)</f>
        <v>339.91927200000009</v>
      </c>
      <c r="U15" s="3">
        <v>77.2</v>
      </c>
      <c r="V15" s="3">
        <f>(I15+K15)*(46.1/100)*(0.79/100)</f>
        <v>18.648348950000003</v>
      </c>
      <c r="W15">
        <v>38</v>
      </c>
      <c r="X15">
        <f>(76.4/(76.4+8.1+4.91))*100</f>
        <v>85.449054915557554</v>
      </c>
      <c r="Y15">
        <f>(8.1/(76.4+8.1+4.91))*100</f>
        <v>9.0593893300525661</v>
      </c>
      <c r="Z15">
        <f>(4.91/(76.4+8.1+4.91))*100</f>
        <v>5.4915557543898892</v>
      </c>
      <c r="AA15">
        <f>0.022+0.038</f>
        <v>0.06</v>
      </c>
      <c r="AB15">
        <f>7.31+2.63</f>
        <v>9.94</v>
      </c>
      <c r="AC15">
        <f>6.93+57.6</f>
        <v>64.53</v>
      </c>
      <c r="AD15">
        <f>30.2+0.022</f>
        <v>30.221999999999998</v>
      </c>
      <c r="AE15">
        <f>83.7+7.31</f>
        <v>91.01</v>
      </c>
      <c r="AF15">
        <f>6.93+5.58</f>
        <v>12.51</v>
      </c>
      <c r="AG15">
        <f>(I15+K15)*(46.1/100)*(28/100)*(10.6/100)*(0.71/100)</f>
        <v>0.49743408576400006</v>
      </c>
      <c r="AI15" s="3">
        <f>I15*(57.3/100)*(51.5/100)</f>
        <v>1417.8724560000001</v>
      </c>
      <c r="AJ15" s="3">
        <f>I15*(57.3/100)*(39.9/100)</f>
        <v>1098.5070095999999</v>
      </c>
      <c r="AK15" s="3">
        <f t="shared" ref="AK15" si="9">AI15/AJ15</f>
        <v>1.2907268170426067</v>
      </c>
      <c r="AL15" s="3">
        <v>81.400000000000006</v>
      </c>
      <c r="AM15" s="3">
        <v>6.84</v>
      </c>
      <c r="AN15">
        <v>1.79</v>
      </c>
      <c r="AO15" s="3">
        <v>57.8</v>
      </c>
      <c r="AP15" s="3">
        <v>12.7</v>
      </c>
      <c r="AQ15" s="3">
        <v>10.6</v>
      </c>
      <c r="AR15" s="3">
        <v>0.28999999999999998</v>
      </c>
      <c r="AS15" s="3">
        <v>2.4</v>
      </c>
      <c r="AT15" s="3">
        <v>0.15</v>
      </c>
      <c r="AU15" s="3">
        <v>1.01</v>
      </c>
      <c r="AV15" s="3">
        <v>11.7</v>
      </c>
      <c r="AW15" s="3">
        <v>1.67</v>
      </c>
      <c r="AX15" s="5">
        <v>1.48</v>
      </c>
      <c r="AY15" s="5">
        <v>13.9</v>
      </c>
      <c r="AZ15" s="5">
        <v>2.39</v>
      </c>
      <c r="BA15" s="3">
        <v>0.84</v>
      </c>
      <c r="BB15" s="3">
        <v>0.87</v>
      </c>
      <c r="BC15" s="3">
        <v>1.22</v>
      </c>
      <c r="BD15" s="3">
        <v>0.75</v>
      </c>
      <c r="BE15" s="3">
        <v>7.44</v>
      </c>
      <c r="BF15" s="3">
        <v>3.92</v>
      </c>
      <c r="BG15" s="3">
        <v>10.9</v>
      </c>
      <c r="BH15" s="3">
        <v>0.64</v>
      </c>
      <c r="BI15" s="3">
        <v>3.84</v>
      </c>
    </row>
    <row r="16" spans="1:61" x14ac:dyDescent="0.2">
      <c r="A16" s="1">
        <v>43738</v>
      </c>
      <c r="B16" s="2">
        <f>B12+7*6</f>
        <v>150</v>
      </c>
      <c r="C16">
        <f t="shared" si="1"/>
        <v>21.428571428571427</v>
      </c>
      <c r="D16" t="s">
        <v>81</v>
      </c>
      <c r="E16">
        <v>5600</v>
      </c>
      <c r="F16">
        <v>19.899999999999999</v>
      </c>
      <c r="G16" s="16">
        <f t="shared" si="2"/>
        <v>1114.3999999999999</v>
      </c>
      <c r="H16">
        <v>74.8</v>
      </c>
      <c r="I16" s="16">
        <f t="shared" si="3"/>
        <v>4188.8</v>
      </c>
      <c r="J16">
        <v>3.9</v>
      </c>
      <c r="K16" s="16">
        <f t="shared" si="4"/>
        <v>218.4</v>
      </c>
      <c r="L16">
        <v>0.6</v>
      </c>
      <c r="M16" s="16">
        <f t="shared" si="5"/>
        <v>33.6</v>
      </c>
      <c r="N16">
        <v>0.8</v>
      </c>
      <c r="O16" s="16">
        <f t="shared" si="6"/>
        <v>44.800000000000004</v>
      </c>
      <c r="P16">
        <v>402</v>
      </c>
      <c r="Q16" s="16">
        <f>(I16+K16)*(42.7/100)*(65.7/100)</f>
        <v>1236.3914808000002</v>
      </c>
      <c r="R16">
        <f>(I16+K16)*(52.4/100)</f>
        <v>2309.3728000000001</v>
      </c>
      <c r="S16" s="3">
        <f>R16*(0.055/100)</f>
        <v>1.2701550400000001</v>
      </c>
      <c r="T16" s="3">
        <f>(I16+K16)*(42.7/100)*(12/100)</f>
        <v>225.824928</v>
      </c>
      <c r="U16" s="3">
        <v>85.1</v>
      </c>
      <c r="V16" s="3">
        <f>(I16+K16)*(42.7/100)*(1.01/100)</f>
        <v>19.006931440000002</v>
      </c>
      <c r="W16">
        <v>42</v>
      </c>
      <c r="X16">
        <f>(71.1/(71.1+3.75+14.2))*100</f>
        <v>79.842784952274002</v>
      </c>
      <c r="Y16">
        <f>(3.75/(71.1+3.75+14.2))*100</f>
        <v>4.211117349803482</v>
      </c>
      <c r="Z16">
        <f>(14.2/(71.1+3.75+14.2))*100</f>
        <v>15.946097697922514</v>
      </c>
      <c r="AA16">
        <f>0.00531+0.00531</f>
        <v>1.0619999999999999E-2</v>
      </c>
      <c r="AB16">
        <f>27.3+11.8</f>
        <v>39.1</v>
      </c>
      <c r="AC16">
        <f>18.2+57.4</f>
        <v>75.599999999999994</v>
      </c>
      <c r="AD16">
        <f>40.3+0.00531</f>
        <v>40.305309999999999</v>
      </c>
      <c r="AE16">
        <f>53.1+27.3</f>
        <v>80.400000000000006</v>
      </c>
      <c r="AF16">
        <f>6.96+18.2</f>
        <v>25.16</v>
      </c>
      <c r="AG16">
        <f>(I16+K16)*(42.7/100)*(20.4/100)*(10.9/100)*(1.73/100)</f>
        <v>0.72392471344031994</v>
      </c>
      <c r="AI16" s="3">
        <f>I16*(53.4/100)*(53.1/100)</f>
        <v>1187.7509952000003</v>
      </c>
      <c r="AJ16" s="3">
        <f>I16*(53.4/100)*(38.4/100)</f>
        <v>858.9385728000002</v>
      </c>
      <c r="AK16" s="3">
        <f t="shared" ref="AK16" si="10">AI16/AJ16</f>
        <v>1.3828125</v>
      </c>
      <c r="AL16" s="3">
        <v>84.9</v>
      </c>
      <c r="AM16" s="3">
        <v>5.54</v>
      </c>
      <c r="AN16">
        <v>1.36</v>
      </c>
      <c r="AO16" s="3">
        <v>58.9</v>
      </c>
      <c r="AP16" s="3">
        <v>12.7</v>
      </c>
      <c r="AQ16" s="3">
        <v>14.3</v>
      </c>
      <c r="AR16" s="3">
        <v>0.34</v>
      </c>
      <c r="AS16" s="3">
        <v>2.2799999999999998</v>
      </c>
      <c r="AT16" s="3">
        <v>5.3999999999999999E-2</v>
      </c>
      <c r="AU16" s="3">
        <v>1.73</v>
      </c>
      <c r="AV16" s="3">
        <v>9.3000000000000007</v>
      </c>
      <c r="AW16" s="3">
        <v>1.68</v>
      </c>
      <c r="AX16" s="5">
        <v>2.12</v>
      </c>
      <c r="AY16" s="5">
        <v>25.8</v>
      </c>
      <c r="AZ16" s="5">
        <v>3.35</v>
      </c>
      <c r="BA16" s="3">
        <v>0.8</v>
      </c>
      <c r="BB16" s="3">
        <v>1.1499999999999999</v>
      </c>
      <c r="BC16" s="3">
        <v>0.35</v>
      </c>
      <c r="BD16" s="3">
        <v>2.2200000000000002</v>
      </c>
      <c r="BE16" s="3">
        <v>7.51</v>
      </c>
      <c r="BF16" s="3">
        <v>4.22</v>
      </c>
      <c r="BG16" s="3">
        <v>18.3</v>
      </c>
      <c r="BH16" s="3">
        <v>1.07</v>
      </c>
      <c r="BI16" s="3">
        <v>4.6399999999999997</v>
      </c>
    </row>
    <row r="17" spans="1:61" x14ac:dyDescent="0.2">
      <c r="A17" s="1">
        <v>43752</v>
      </c>
      <c r="B17" s="2">
        <f>B12+7*8</f>
        <v>164</v>
      </c>
      <c r="C17">
        <f t="shared" si="1"/>
        <v>23.428571428571427</v>
      </c>
      <c r="D17" t="s">
        <v>82</v>
      </c>
      <c r="E17" s="25">
        <v>5200</v>
      </c>
      <c r="F17" s="25">
        <v>21.9</v>
      </c>
      <c r="G17" s="19">
        <f t="shared" si="2"/>
        <v>1138.8</v>
      </c>
      <c r="H17" s="25">
        <v>69.5</v>
      </c>
      <c r="I17" s="19">
        <f t="shared" si="3"/>
        <v>3613.9999999999995</v>
      </c>
      <c r="J17" s="25">
        <v>7.2</v>
      </c>
      <c r="K17" s="19">
        <f t="shared" si="4"/>
        <v>374.40000000000003</v>
      </c>
      <c r="L17" s="25">
        <v>0.7</v>
      </c>
      <c r="M17" s="19">
        <f t="shared" si="5"/>
        <v>36.4</v>
      </c>
      <c r="N17" s="25">
        <v>0.7</v>
      </c>
      <c r="O17" s="19">
        <f t="shared" si="6"/>
        <v>36.4</v>
      </c>
      <c r="P17" s="25">
        <v>242</v>
      </c>
      <c r="Q17" s="16">
        <f>(I17+K17)*(53.3/100)*(49.6/100)</f>
        <v>1054.4053311999996</v>
      </c>
      <c r="R17">
        <f>(I17+K17)*(35.7/100)</f>
        <v>1423.8588</v>
      </c>
      <c r="S17" s="3">
        <f>R17*(0.016/100)</f>
        <v>0.22781740800000003</v>
      </c>
      <c r="T17" s="3">
        <f>(I17+K17)*(53.3/100)*(19.9/100)</f>
        <v>423.03762279999984</v>
      </c>
      <c r="U17" s="3">
        <v>69.8</v>
      </c>
      <c r="V17" s="3">
        <f>(I17+K17)*(53.3/100)*(0.84/100)</f>
        <v>17.856864479999995</v>
      </c>
      <c r="W17">
        <v>40.299999999999997</v>
      </c>
      <c r="X17">
        <f>(64.2/(64.2+11.1+15.3))*100</f>
        <v>70.860927152317885</v>
      </c>
      <c r="Y17">
        <f>(11.1/(64.2+11.1+15.3))*100</f>
        <v>12.251655629139073</v>
      </c>
      <c r="Z17">
        <f>(15.3/(64.2+11.1+15.3))*100</f>
        <v>16.88741721854305</v>
      </c>
      <c r="AA17">
        <f>0.011+0.023</f>
        <v>3.4000000000000002E-2</v>
      </c>
      <c r="AB17">
        <f>3.02+3.26</f>
        <v>6.2799999999999994</v>
      </c>
      <c r="AC17">
        <f>1.11+23.1</f>
        <v>24.21</v>
      </c>
      <c r="AD17">
        <f>22.9+0.011</f>
        <v>22.910999999999998</v>
      </c>
      <c r="AE17">
        <f>67.1+3.02</f>
        <v>70.11999999999999</v>
      </c>
      <c r="AF17">
        <f>1.11+3.4</f>
        <v>4.51</v>
      </c>
      <c r="AG17">
        <f>(I17+K17)*(53.3/100)*(28.3/100)*(9.34/100)*(0.44/100)</f>
        <v>0.24723611173289597</v>
      </c>
      <c r="AI17" s="25">
        <f>I17*(47.3/100)*(54.4/100)</f>
        <v>929.925568</v>
      </c>
      <c r="AJ17" s="25">
        <f>I17*(47.3/100)*(35/100)</f>
        <v>598.29769999999985</v>
      </c>
      <c r="AK17" s="3">
        <f t="shared" ref="AK17" si="11">AI17/AJ17</f>
        <v>1.5542857142857147</v>
      </c>
      <c r="AL17" s="3">
        <v>80.5</v>
      </c>
      <c r="AM17" s="3">
        <v>5.51</v>
      </c>
      <c r="AN17">
        <v>2.2400000000000002</v>
      </c>
      <c r="AO17" s="3">
        <v>67.099999999999994</v>
      </c>
      <c r="AP17" s="3">
        <v>12.1</v>
      </c>
      <c r="AQ17" s="3">
        <v>9.56</v>
      </c>
      <c r="AR17" s="3">
        <v>0.13</v>
      </c>
      <c r="AS17" s="3">
        <v>1.91</v>
      </c>
      <c r="AT17" s="3">
        <v>6.3E-2</v>
      </c>
      <c r="AU17" s="3">
        <v>0.72</v>
      </c>
      <c r="AV17" s="3">
        <v>6.63</v>
      </c>
      <c r="AW17" s="3">
        <v>0.72</v>
      </c>
      <c r="AX17" s="5">
        <v>0.37</v>
      </c>
      <c r="AY17" s="5">
        <v>17.7</v>
      </c>
      <c r="AZ17" s="5">
        <v>1.4</v>
      </c>
      <c r="BA17" s="3">
        <v>0.24</v>
      </c>
      <c r="BB17" s="3">
        <v>1.1200000000000001</v>
      </c>
      <c r="BC17" s="3">
        <v>0.15</v>
      </c>
      <c r="BD17" s="3">
        <v>0.66</v>
      </c>
      <c r="BE17" s="3">
        <v>4.55</v>
      </c>
      <c r="BF17" s="3">
        <v>3</v>
      </c>
      <c r="BG17" s="3">
        <v>7.51</v>
      </c>
      <c r="BH17" s="3">
        <v>1.07</v>
      </c>
      <c r="BI17" s="3">
        <v>3.76</v>
      </c>
    </row>
    <row r="18" spans="1:61" x14ac:dyDescent="0.2">
      <c r="A18" s="1">
        <v>43761</v>
      </c>
      <c r="B18" s="2">
        <f>B12+7*10-5</f>
        <v>173</v>
      </c>
      <c r="C18">
        <f t="shared" si="1"/>
        <v>24.714285714285715</v>
      </c>
      <c r="D18" t="s">
        <v>83</v>
      </c>
      <c r="E18">
        <v>3100</v>
      </c>
      <c r="F18">
        <v>25.7</v>
      </c>
      <c r="G18" s="16">
        <f t="shared" si="2"/>
        <v>796.7</v>
      </c>
      <c r="H18">
        <v>63.7</v>
      </c>
      <c r="I18" s="16">
        <f t="shared" si="3"/>
        <v>1974.7</v>
      </c>
      <c r="J18">
        <v>8.5</v>
      </c>
      <c r="K18" s="16">
        <f t="shared" si="4"/>
        <v>263.5</v>
      </c>
      <c r="L18">
        <v>1.2</v>
      </c>
      <c r="M18" s="16">
        <f t="shared" si="5"/>
        <v>37.200000000000003</v>
      </c>
      <c r="N18">
        <v>0.9</v>
      </c>
      <c r="O18" s="16">
        <f t="shared" si="6"/>
        <v>27.900000000000002</v>
      </c>
      <c r="P18">
        <v>344</v>
      </c>
      <c r="Q18" s="16">
        <f>(I18+K18)*(42.1/100)*(64.6/100)</f>
        <v>608.71430119999991</v>
      </c>
      <c r="R18">
        <f>(I18+K18)*(53.9/100)</f>
        <v>1206.3897999999999</v>
      </c>
      <c r="S18" s="3">
        <f>R18*(0.022/100)</f>
        <v>0.26540575599999994</v>
      </c>
      <c r="T18" s="3">
        <f>(I18+K18)*(42.1/100)*(3.97/100)</f>
        <v>37.408603339999999</v>
      </c>
      <c r="U18" s="3">
        <v>74.2</v>
      </c>
      <c r="V18" s="3">
        <f>(I18+K18)*(42.1/100)*(0.56/100)</f>
        <v>5.2767803200000003</v>
      </c>
      <c r="W18">
        <v>17.399999999999999</v>
      </c>
      <c r="X18">
        <f>(77.7/(77.7+3.7+2.28))*100</f>
        <v>92.853728489483743</v>
      </c>
      <c r="Y18">
        <f>(3.7/(77.7+3.7+2.28))*100</f>
        <v>4.4216061185468449</v>
      </c>
      <c r="Z18">
        <f>(2.28/(77.7+3.7+2.28))*100</f>
        <v>2.7246653919694066</v>
      </c>
      <c r="AA18">
        <f>0.00722+0.029</f>
        <v>3.6220000000000002E-2</v>
      </c>
      <c r="AB18">
        <f>6.37+1.97</f>
        <v>8.34</v>
      </c>
      <c r="AC18">
        <f>12.8+44</f>
        <v>56.8</v>
      </c>
      <c r="AD18">
        <f>31.5+0.00722</f>
        <v>31.50722</v>
      </c>
      <c r="AE18">
        <f>84.7+6.37</f>
        <v>91.070000000000007</v>
      </c>
      <c r="AF18">
        <f>12.8+7.37</f>
        <v>20.170000000000002</v>
      </c>
      <c r="AG18">
        <f>(I18+K18)*(42.1/100)*(30/100)*(16.3/100)*(0.93/100)</f>
        <v>0.4285216760940001</v>
      </c>
      <c r="AI18" s="3">
        <f>I18*(65.2/100)*(52.7/100)</f>
        <v>678.51481880000006</v>
      </c>
      <c r="AJ18" s="3">
        <f>I18*(65.2/100)*(39.4/100)</f>
        <v>507.27673359999994</v>
      </c>
      <c r="AK18" s="3">
        <f t="shared" ref="AK18" si="12">AI18/AJ18</f>
        <v>1.3375634517766499</v>
      </c>
      <c r="AL18" s="3">
        <v>79.599999999999994</v>
      </c>
      <c r="AM18" s="3">
        <v>6.47</v>
      </c>
      <c r="AN18">
        <v>2.67</v>
      </c>
      <c r="AO18" s="3">
        <v>60.1</v>
      </c>
      <c r="AP18" s="3">
        <v>15.3</v>
      </c>
      <c r="AQ18" s="3">
        <v>12.2</v>
      </c>
      <c r="AR18" s="3">
        <v>0.33</v>
      </c>
      <c r="AS18" s="3">
        <v>0.73</v>
      </c>
      <c r="AT18" s="3">
        <v>8.8400000000000006E-3</v>
      </c>
      <c r="AU18" s="3">
        <v>1.63</v>
      </c>
      <c r="AV18" s="3">
        <v>3.42</v>
      </c>
      <c r="AW18" s="3">
        <v>0.49</v>
      </c>
      <c r="AX18" s="5">
        <v>1.45</v>
      </c>
      <c r="AY18" s="5">
        <v>9.09</v>
      </c>
      <c r="AZ18" s="5">
        <v>0.4</v>
      </c>
      <c r="BA18" s="3">
        <v>0.55000000000000004</v>
      </c>
      <c r="BB18" s="3">
        <v>0.48</v>
      </c>
      <c r="BC18" s="3">
        <v>6.3E-2</v>
      </c>
      <c r="BD18" s="3">
        <v>2.21</v>
      </c>
      <c r="BE18" s="3">
        <v>2.79</v>
      </c>
      <c r="BF18" s="3">
        <v>2.95</v>
      </c>
      <c r="BG18" s="3">
        <v>14.4</v>
      </c>
      <c r="BH18" s="3">
        <v>0.19</v>
      </c>
      <c r="BI18" s="3">
        <v>5.05</v>
      </c>
    </row>
    <row r="23" spans="1:61" x14ac:dyDescent="0.2">
      <c r="A23" s="5" t="s">
        <v>38</v>
      </c>
    </row>
    <row r="24" spans="1:61" x14ac:dyDescent="0.2">
      <c r="A24" s="4" t="s">
        <v>39</v>
      </c>
    </row>
    <row r="25" spans="1:61" x14ac:dyDescent="0.2">
      <c r="A25" s="17" t="s">
        <v>77</v>
      </c>
    </row>
    <row r="27" spans="1:61" x14ac:dyDescent="0.2">
      <c r="A27" t="s">
        <v>84</v>
      </c>
    </row>
  </sheetData>
  <mergeCells count="10">
    <mergeCell ref="E1:P2"/>
    <mergeCell ref="Q1:AH2"/>
    <mergeCell ref="AI1:AQ2"/>
    <mergeCell ref="AR1:BI1"/>
    <mergeCell ref="AR2:AT2"/>
    <mergeCell ref="AU2:AW2"/>
    <mergeCell ref="AX2:AZ2"/>
    <mergeCell ref="BA2:BC2"/>
    <mergeCell ref="BD2:BF2"/>
    <mergeCell ref="BG2:BI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1FA3-D3AA-3B4A-ABB6-A3B0D172DD4C}">
  <dimension ref="A1:S88"/>
  <sheetViews>
    <sheetView topLeftCell="A40" workbookViewId="0">
      <selection activeCell="U29" sqref="U29"/>
    </sheetView>
  </sheetViews>
  <sheetFormatPr baseColWidth="10" defaultRowHeight="16" x14ac:dyDescent="0.2"/>
  <sheetData>
    <row r="1" spans="1:19" ht="19" x14ac:dyDescent="0.25">
      <c r="A1" s="59" t="s">
        <v>216</v>
      </c>
    </row>
    <row r="2" spans="1:19" x14ac:dyDescent="0.2">
      <c r="A2" s="9"/>
      <c r="B2" s="33" t="s">
        <v>217</v>
      </c>
      <c r="C2" s="33" t="s">
        <v>218</v>
      </c>
      <c r="D2" s="33" t="s">
        <v>219</v>
      </c>
      <c r="E2" s="33" t="s">
        <v>220</v>
      </c>
      <c r="F2" s="33" t="s">
        <v>221</v>
      </c>
      <c r="G2" s="33" t="s">
        <v>222</v>
      </c>
      <c r="H2" s="33" t="s">
        <v>223</v>
      </c>
      <c r="I2" s="33" t="s">
        <v>224</v>
      </c>
      <c r="J2" s="33" t="s">
        <v>225</v>
      </c>
      <c r="K2" s="33" t="s">
        <v>226</v>
      </c>
      <c r="L2" s="33" t="s">
        <v>227</v>
      </c>
      <c r="M2" s="33" t="s">
        <v>228</v>
      </c>
      <c r="N2" s="33" t="s">
        <v>229</v>
      </c>
      <c r="O2" s="33" t="s">
        <v>230</v>
      </c>
      <c r="P2" s="33" t="s">
        <v>231</v>
      </c>
      <c r="Q2" s="33" t="s">
        <v>232</v>
      </c>
      <c r="R2" s="33" t="s">
        <v>233</v>
      </c>
      <c r="S2" s="33" t="s">
        <v>234</v>
      </c>
    </row>
    <row r="3" spans="1:19" x14ac:dyDescent="0.2">
      <c r="A3" s="35" t="s">
        <v>235</v>
      </c>
      <c r="B3" s="46">
        <v>3325</v>
      </c>
      <c r="C3" s="46">
        <v>1325</v>
      </c>
      <c r="D3" s="46">
        <v>1675</v>
      </c>
      <c r="E3" s="46">
        <v>960</v>
      </c>
      <c r="F3" s="46">
        <v>340</v>
      </c>
      <c r="G3" s="46">
        <v>875</v>
      </c>
      <c r="H3" s="46">
        <v>2305</v>
      </c>
      <c r="I3" s="46">
        <v>830</v>
      </c>
      <c r="J3" s="46">
        <v>2450</v>
      </c>
      <c r="K3" s="46">
        <v>845</v>
      </c>
      <c r="L3" s="46">
        <v>495</v>
      </c>
      <c r="M3" s="46">
        <v>1590</v>
      </c>
      <c r="N3" s="46">
        <v>1310</v>
      </c>
      <c r="O3" s="46">
        <v>540</v>
      </c>
      <c r="P3" s="46">
        <v>970</v>
      </c>
      <c r="Q3" s="46">
        <v>1050</v>
      </c>
      <c r="R3" s="46">
        <v>925</v>
      </c>
      <c r="S3" s="46">
        <v>1535</v>
      </c>
    </row>
    <row r="4" spans="1:19" x14ac:dyDescent="0.2">
      <c r="A4" s="35" t="s">
        <v>236</v>
      </c>
      <c r="B4" s="46">
        <v>0</v>
      </c>
      <c r="C4" s="46">
        <v>5</v>
      </c>
      <c r="D4" s="46">
        <v>0</v>
      </c>
      <c r="E4" s="46">
        <v>10</v>
      </c>
      <c r="F4" s="46">
        <v>0</v>
      </c>
      <c r="G4" s="46">
        <v>0</v>
      </c>
      <c r="H4" s="46">
        <v>0</v>
      </c>
      <c r="I4" s="46">
        <v>0</v>
      </c>
      <c r="J4" s="46">
        <v>10</v>
      </c>
      <c r="K4" s="46">
        <v>0</v>
      </c>
      <c r="L4" s="46">
        <v>0</v>
      </c>
      <c r="M4" s="46">
        <v>0</v>
      </c>
      <c r="N4" s="46">
        <v>0</v>
      </c>
      <c r="O4" s="46">
        <v>0</v>
      </c>
      <c r="P4" s="46">
        <v>25</v>
      </c>
      <c r="Q4" s="46">
        <v>10</v>
      </c>
      <c r="R4" s="46">
        <v>0</v>
      </c>
      <c r="S4" s="46">
        <v>0</v>
      </c>
    </row>
    <row r="5" spans="1:19" x14ac:dyDescent="0.2">
      <c r="A5" s="35" t="s">
        <v>237</v>
      </c>
      <c r="B5" s="46">
        <v>0</v>
      </c>
      <c r="C5" s="46">
        <v>15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20</v>
      </c>
      <c r="M5" s="46">
        <v>0</v>
      </c>
      <c r="N5" s="46">
        <v>15</v>
      </c>
      <c r="O5" s="46">
        <v>20</v>
      </c>
      <c r="P5" s="46">
        <v>55</v>
      </c>
      <c r="Q5" s="46">
        <v>0</v>
      </c>
      <c r="R5" s="46">
        <v>15</v>
      </c>
      <c r="S5" s="46">
        <v>0</v>
      </c>
    </row>
    <row r="6" spans="1:19" x14ac:dyDescent="0.2">
      <c r="A6" s="35" t="s">
        <v>238</v>
      </c>
      <c r="B6" s="46">
        <v>0</v>
      </c>
      <c r="C6" s="46">
        <v>0</v>
      </c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5</v>
      </c>
      <c r="K6" s="46">
        <v>0</v>
      </c>
      <c r="L6" s="46">
        <v>0</v>
      </c>
      <c r="M6" s="46">
        <v>0</v>
      </c>
      <c r="N6" s="46">
        <v>0</v>
      </c>
      <c r="O6" s="46">
        <v>125</v>
      </c>
      <c r="P6" s="46">
        <v>45</v>
      </c>
      <c r="Q6" s="46">
        <v>15</v>
      </c>
      <c r="R6" s="46">
        <v>0</v>
      </c>
      <c r="S6" s="46">
        <v>0</v>
      </c>
    </row>
    <row r="7" spans="1:19" x14ac:dyDescent="0.2">
      <c r="A7" s="35" t="s">
        <v>239</v>
      </c>
      <c r="B7" s="46">
        <v>0</v>
      </c>
      <c r="C7" s="46">
        <v>15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30</v>
      </c>
      <c r="K7" s="46">
        <v>0</v>
      </c>
      <c r="L7" s="46">
        <v>5</v>
      </c>
      <c r="M7" s="46">
        <v>0</v>
      </c>
      <c r="N7" s="46">
        <v>0</v>
      </c>
      <c r="O7" s="46">
        <v>5</v>
      </c>
      <c r="P7" s="46">
        <v>70</v>
      </c>
      <c r="Q7" s="46">
        <v>0</v>
      </c>
      <c r="R7" s="46">
        <v>30</v>
      </c>
      <c r="S7" s="46">
        <v>30</v>
      </c>
    </row>
    <row r="8" spans="1:19" x14ac:dyDescent="0.2">
      <c r="A8" s="35" t="s">
        <v>240</v>
      </c>
      <c r="B8" s="46">
        <v>0</v>
      </c>
      <c r="C8" s="46">
        <v>10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25</v>
      </c>
      <c r="M8" s="46">
        <v>0</v>
      </c>
      <c r="N8" s="46">
        <v>0</v>
      </c>
      <c r="O8" s="46">
        <v>30</v>
      </c>
      <c r="P8" s="46">
        <v>20</v>
      </c>
      <c r="Q8" s="46">
        <v>85</v>
      </c>
      <c r="R8" s="46">
        <v>40</v>
      </c>
      <c r="S8" s="46">
        <v>25</v>
      </c>
    </row>
    <row r="9" spans="1:19" x14ac:dyDescent="0.2">
      <c r="A9" s="35" t="s">
        <v>241</v>
      </c>
      <c r="B9" s="46">
        <v>0</v>
      </c>
      <c r="C9" s="46">
        <v>0</v>
      </c>
      <c r="D9" s="46">
        <v>0</v>
      </c>
      <c r="E9" s="46">
        <v>5</v>
      </c>
      <c r="F9" s="46">
        <v>0</v>
      </c>
      <c r="G9" s="46">
        <v>0</v>
      </c>
      <c r="H9" s="46">
        <v>0</v>
      </c>
      <c r="I9" s="46">
        <v>0</v>
      </c>
      <c r="J9" s="46">
        <v>10</v>
      </c>
      <c r="K9" s="46">
        <v>0</v>
      </c>
      <c r="L9" s="46">
        <v>0</v>
      </c>
      <c r="M9" s="46">
        <v>70</v>
      </c>
      <c r="N9" s="46">
        <v>0</v>
      </c>
      <c r="O9" s="46">
        <v>0</v>
      </c>
      <c r="P9" s="46">
        <v>40</v>
      </c>
      <c r="Q9" s="46">
        <v>0</v>
      </c>
      <c r="R9" s="46">
        <v>35</v>
      </c>
      <c r="S9" s="46">
        <v>0</v>
      </c>
    </row>
    <row r="10" spans="1:19" x14ac:dyDescent="0.2">
      <c r="A10" s="35" t="s">
        <v>242</v>
      </c>
      <c r="B10" s="46">
        <v>685</v>
      </c>
      <c r="C10" s="46">
        <v>685</v>
      </c>
      <c r="D10" s="46">
        <v>450</v>
      </c>
      <c r="E10" s="46">
        <v>0</v>
      </c>
      <c r="F10" s="46">
        <v>0</v>
      </c>
      <c r="G10" s="46">
        <v>25</v>
      </c>
      <c r="H10" s="46">
        <v>0</v>
      </c>
      <c r="I10" s="46">
        <v>45</v>
      </c>
      <c r="J10" s="46">
        <v>15</v>
      </c>
      <c r="K10" s="46">
        <v>0</v>
      </c>
      <c r="L10" s="46">
        <v>15</v>
      </c>
      <c r="M10" s="46">
        <v>40</v>
      </c>
      <c r="N10" s="46">
        <v>0</v>
      </c>
      <c r="O10" s="46">
        <v>0</v>
      </c>
      <c r="P10" s="46">
        <v>45</v>
      </c>
      <c r="Q10" s="46">
        <v>0</v>
      </c>
      <c r="R10" s="46">
        <v>0</v>
      </c>
      <c r="S10" s="46">
        <v>0</v>
      </c>
    </row>
    <row r="11" spans="1:19" x14ac:dyDescent="0.2">
      <c r="A11" s="35" t="s">
        <v>243</v>
      </c>
      <c r="B11" s="46">
        <v>20</v>
      </c>
      <c r="C11" s="46">
        <v>0</v>
      </c>
      <c r="D11" s="46">
        <v>0</v>
      </c>
      <c r="E11" s="46">
        <v>0</v>
      </c>
      <c r="F11" s="46">
        <v>0</v>
      </c>
      <c r="G11" s="46">
        <v>35</v>
      </c>
      <c r="H11" s="46">
        <v>0</v>
      </c>
      <c r="I11" s="46">
        <v>0</v>
      </c>
      <c r="J11" s="46">
        <v>5</v>
      </c>
      <c r="K11" s="46">
        <v>0</v>
      </c>
      <c r="L11" s="46">
        <v>0</v>
      </c>
      <c r="M11" s="46">
        <v>0</v>
      </c>
      <c r="N11" s="46">
        <v>0</v>
      </c>
      <c r="O11" s="46">
        <v>45</v>
      </c>
      <c r="P11" s="46">
        <v>40</v>
      </c>
      <c r="Q11" s="46">
        <v>10</v>
      </c>
      <c r="R11" s="46">
        <v>0</v>
      </c>
      <c r="S11" s="46">
        <v>0</v>
      </c>
    </row>
    <row r="12" spans="1:19" x14ac:dyDescent="0.2">
      <c r="A12" s="35" t="s">
        <v>244</v>
      </c>
      <c r="B12" s="46">
        <v>0</v>
      </c>
      <c r="C12" s="46">
        <v>30</v>
      </c>
      <c r="D12" s="46">
        <v>0</v>
      </c>
      <c r="E12" s="46">
        <v>0</v>
      </c>
      <c r="F12" s="46">
        <v>0</v>
      </c>
      <c r="G12" s="46">
        <v>10</v>
      </c>
      <c r="H12" s="46">
        <v>0</v>
      </c>
      <c r="I12" s="46">
        <v>0</v>
      </c>
      <c r="J12" s="46">
        <v>0</v>
      </c>
      <c r="K12" s="46">
        <v>0</v>
      </c>
      <c r="L12" s="46">
        <v>5</v>
      </c>
      <c r="M12" s="46">
        <v>0</v>
      </c>
      <c r="N12" s="46">
        <v>0</v>
      </c>
      <c r="O12" s="46">
        <v>85</v>
      </c>
      <c r="P12" s="46">
        <v>20</v>
      </c>
      <c r="Q12" s="46">
        <v>10</v>
      </c>
      <c r="R12" s="46">
        <v>0</v>
      </c>
      <c r="S12" s="46">
        <v>0</v>
      </c>
    </row>
    <row r="13" spans="1:19" x14ac:dyDescent="0.2">
      <c r="A13" s="35" t="s">
        <v>245</v>
      </c>
      <c r="B13" s="46">
        <v>0</v>
      </c>
      <c r="C13" s="46">
        <v>40</v>
      </c>
      <c r="D13" s="46">
        <v>0</v>
      </c>
      <c r="E13" s="46">
        <v>0</v>
      </c>
      <c r="F13" s="46">
        <v>0</v>
      </c>
      <c r="G13" s="46">
        <v>5</v>
      </c>
      <c r="H13" s="46">
        <v>0</v>
      </c>
      <c r="I13" s="46">
        <v>0</v>
      </c>
      <c r="J13" s="46">
        <v>0</v>
      </c>
      <c r="K13" s="46">
        <v>0</v>
      </c>
      <c r="L13" s="46">
        <v>25</v>
      </c>
      <c r="M13" s="46">
        <v>30</v>
      </c>
      <c r="N13" s="46">
        <v>0</v>
      </c>
      <c r="O13" s="46">
        <v>90</v>
      </c>
      <c r="P13" s="46">
        <v>90</v>
      </c>
      <c r="Q13" s="46">
        <v>0</v>
      </c>
      <c r="R13" s="46">
        <v>5</v>
      </c>
      <c r="S13" s="46">
        <v>0</v>
      </c>
    </row>
    <row r="14" spans="1:19" x14ac:dyDescent="0.2">
      <c r="A14" s="35" t="s">
        <v>246</v>
      </c>
      <c r="B14" s="46">
        <v>0</v>
      </c>
      <c r="C14" s="46">
        <v>50</v>
      </c>
      <c r="D14" s="46">
        <v>0</v>
      </c>
      <c r="E14" s="46">
        <v>0</v>
      </c>
      <c r="F14" s="46">
        <v>0</v>
      </c>
      <c r="G14" s="46">
        <v>5</v>
      </c>
      <c r="H14" s="46">
        <v>0</v>
      </c>
      <c r="I14" s="46">
        <v>0</v>
      </c>
      <c r="J14" s="46">
        <v>5</v>
      </c>
      <c r="K14" s="46">
        <v>0</v>
      </c>
      <c r="L14" s="46">
        <v>30</v>
      </c>
      <c r="M14" s="46">
        <v>0</v>
      </c>
      <c r="N14" s="46">
        <v>0</v>
      </c>
      <c r="O14" s="46">
        <v>70</v>
      </c>
      <c r="P14" s="46">
        <v>10</v>
      </c>
      <c r="Q14" s="46">
        <v>0</v>
      </c>
      <c r="R14" s="46">
        <v>65</v>
      </c>
      <c r="S14" s="46">
        <v>0</v>
      </c>
    </row>
    <row r="15" spans="1:19" x14ac:dyDescent="0.2">
      <c r="A15" s="35" t="s">
        <v>247</v>
      </c>
      <c r="B15" s="46">
        <v>0</v>
      </c>
      <c r="C15" s="46">
        <v>35</v>
      </c>
      <c r="D15" s="46">
        <v>0</v>
      </c>
      <c r="E15" s="46">
        <v>20</v>
      </c>
      <c r="F15" s="46">
        <v>0</v>
      </c>
      <c r="G15" s="46">
        <v>20</v>
      </c>
      <c r="H15" s="46">
        <v>0</v>
      </c>
      <c r="I15" s="46">
        <v>35</v>
      </c>
      <c r="J15" s="46">
        <v>0</v>
      </c>
      <c r="K15" s="46">
        <v>0</v>
      </c>
      <c r="L15" s="46">
        <v>40</v>
      </c>
      <c r="M15" s="46">
        <v>0</v>
      </c>
      <c r="N15" s="46">
        <v>0</v>
      </c>
      <c r="O15" s="46">
        <v>0</v>
      </c>
      <c r="P15" s="46">
        <v>30</v>
      </c>
      <c r="Q15" s="46">
        <v>0</v>
      </c>
      <c r="R15" s="46">
        <v>80</v>
      </c>
      <c r="S15" s="46">
        <v>0</v>
      </c>
    </row>
    <row r="16" spans="1:19" x14ac:dyDescent="0.2">
      <c r="A16" s="35" t="s">
        <v>248</v>
      </c>
      <c r="B16" s="46">
        <v>0</v>
      </c>
      <c r="C16" s="46">
        <v>5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25</v>
      </c>
      <c r="M16" s="46">
        <v>0</v>
      </c>
      <c r="N16" s="46">
        <v>0</v>
      </c>
      <c r="O16" s="46">
        <v>0</v>
      </c>
      <c r="P16" s="46">
        <v>50</v>
      </c>
      <c r="Q16" s="46">
        <v>10</v>
      </c>
      <c r="R16" s="46">
        <v>60</v>
      </c>
      <c r="S16" s="46">
        <v>0</v>
      </c>
    </row>
    <row r="17" spans="1:19" x14ac:dyDescent="0.2">
      <c r="A17" s="35" t="s">
        <v>249</v>
      </c>
      <c r="B17" s="46">
        <v>320</v>
      </c>
      <c r="C17" s="46">
        <v>475</v>
      </c>
      <c r="D17" s="46">
        <v>355</v>
      </c>
      <c r="E17" s="46">
        <v>0</v>
      </c>
      <c r="F17" s="46">
        <v>10</v>
      </c>
      <c r="G17" s="46">
        <v>15</v>
      </c>
      <c r="H17" s="46">
        <v>0</v>
      </c>
      <c r="I17" s="46">
        <v>0</v>
      </c>
      <c r="J17" s="46">
        <v>0</v>
      </c>
      <c r="K17" s="46">
        <v>0</v>
      </c>
      <c r="L17" s="46">
        <v>40</v>
      </c>
      <c r="M17" s="46">
        <v>130</v>
      </c>
      <c r="N17" s="46">
        <v>0</v>
      </c>
      <c r="O17" s="46">
        <v>5</v>
      </c>
      <c r="P17" s="46">
        <v>65</v>
      </c>
      <c r="Q17" s="46">
        <v>65</v>
      </c>
      <c r="R17" s="46">
        <v>40</v>
      </c>
      <c r="S17" s="46">
        <v>75</v>
      </c>
    </row>
    <row r="18" spans="1:19" x14ac:dyDescent="0.2">
      <c r="A18" s="35" t="s">
        <v>250</v>
      </c>
      <c r="B18" s="46">
        <v>1920</v>
      </c>
      <c r="C18" s="46">
        <v>1735</v>
      </c>
      <c r="D18" s="46">
        <v>840</v>
      </c>
      <c r="E18" s="46">
        <v>755</v>
      </c>
      <c r="F18" s="46">
        <v>1090</v>
      </c>
      <c r="G18" s="46">
        <v>675</v>
      </c>
      <c r="H18" s="46">
        <v>960</v>
      </c>
      <c r="I18" s="46">
        <v>1140</v>
      </c>
      <c r="J18" s="46">
        <v>730</v>
      </c>
      <c r="K18" s="46">
        <v>715</v>
      </c>
      <c r="L18" s="46">
        <v>395</v>
      </c>
      <c r="M18" s="46">
        <v>1085</v>
      </c>
      <c r="N18" s="46">
        <v>1835</v>
      </c>
      <c r="O18" s="46">
        <v>1175</v>
      </c>
      <c r="P18" s="46">
        <v>1020</v>
      </c>
      <c r="Q18" s="46">
        <v>1250</v>
      </c>
      <c r="R18" s="46">
        <v>1490</v>
      </c>
      <c r="S18" s="46">
        <v>980</v>
      </c>
    </row>
    <row r="19" spans="1:19" ht="18" x14ac:dyDescent="0.2">
      <c r="A19" s="58" t="s">
        <v>251</v>
      </c>
    </row>
    <row r="20" spans="1:19" x14ac:dyDescent="0.2">
      <c r="A20" s="9"/>
      <c r="B20" s="33" t="s">
        <v>252</v>
      </c>
      <c r="C20" s="33" t="s">
        <v>253</v>
      </c>
      <c r="D20" s="33" t="s">
        <v>254</v>
      </c>
      <c r="E20" s="33" t="s">
        <v>255</v>
      </c>
      <c r="F20" s="33" t="s">
        <v>256</v>
      </c>
      <c r="G20" s="33" t="s">
        <v>257</v>
      </c>
      <c r="H20" s="33" t="s">
        <v>258</v>
      </c>
      <c r="I20" s="33" t="s">
        <v>259</v>
      </c>
      <c r="J20" s="33" t="s">
        <v>260</v>
      </c>
      <c r="K20" s="33" t="s">
        <v>261</v>
      </c>
      <c r="L20" s="33" t="s">
        <v>262</v>
      </c>
      <c r="M20" s="33" t="s">
        <v>263</v>
      </c>
      <c r="N20" s="33" t="s">
        <v>264</v>
      </c>
      <c r="O20" s="33" t="s">
        <v>265</v>
      </c>
      <c r="P20" s="33" t="s">
        <v>266</v>
      </c>
      <c r="Q20" s="33" t="s">
        <v>267</v>
      </c>
      <c r="R20" s="33" t="s">
        <v>268</v>
      </c>
      <c r="S20" s="33" t="s">
        <v>269</v>
      </c>
    </row>
    <row r="21" spans="1:19" x14ac:dyDescent="0.2">
      <c r="A21" s="35" t="s">
        <v>235</v>
      </c>
      <c r="B21" s="46">
        <v>30</v>
      </c>
      <c r="C21" s="46">
        <v>365</v>
      </c>
      <c r="D21" s="46">
        <v>480</v>
      </c>
      <c r="E21" s="46">
        <v>1470</v>
      </c>
      <c r="F21" s="46">
        <v>1925</v>
      </c>
      <c r="G21" s="46">
        <v>2985</v>
      </c>
      <c r="H21" s="46">
        <v>1475</v>
      </c>
      <c r="I21" s="46">
        <v>500</v>
      </c>
      <c r="J21" s="46">
        <v>1480</v>
      </c>
      <c r="K21" s="46">
        <v>1055</v>
      </c>
      <c r="L21" s="46">
        <v>415</v>
      </c>
      <c r="M21" s="46">
        <v>815</v>
      </c>
      <c r="N21" s="46">
        <v>885</v>
      </c>
      <c r="O21" s="46">
        <v>310</v>
      </c>
      <c r="P21" s="46">
        <v>1470</v>
      </c>
      <c r="Q21" s="46">
        <v>3290</v>
      </c>
      <c r="R21" s="46">
        <v>1090</v>
      </c>
      <c r="S21" s="46">
        <v>2090</v>
      </c>
    </row>
    <row r="22" spans="1:19" x14ac:dyDescent="0.2">
      <c r="A22" s="35" t="s">
        <v>236</v>
      </c>
      <c r="B22" s="46">
        <v>0</v>
      </c>
      <c r="C22" s="46">
        <v>0</v>
      </c>
      <c r="D22" s="46">
        <v>20</v>
      </c>
      <c r="E22" s="46">
        <v>10</v>
      </c>
      <c r="F22" s="46">
        <v>15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</row>
    <row r="23" spans="1:19" x14ac:dyDescent="0.2">
      <c r="A23" s="35" t="s">
        <v>237</v>
      </c>
      <c r="B23" s="46">
        <v>0</v>
      </c>
      <c r="C23" s="46">
        <v>0</v>
      </c>
      <c r="D23" s="46">
        <v>15</v>
      </c>
      <c r="E23" s="46">
        <v>5</v>
      </c>
      <c r="F23" s="46">
        <v>15</v>
      </c>
      <c r="G23" s="46">
        <v>70</v>
      </c>
      <c r="H23" s="46">
        <v>0</v>
      </c>
      <c r="I23" s="46">
        <v>0</v>
      </c>
      <c r="J23" s="46">
        <v>20</v>
      </c>
      <c r="K23" s="46">
        <v>0</v>
      </c>
      <c r="L23" s="46">
        <v>0</v>
      </c>
      <c r="M23" s="46">
        <v>0</v>
      </c>
      <c r="N23" s="46">
        <v>20</v>
      </c>
      <c r="O23" s="46">
        <v>0</v>
      </c>
      <c r="P23" s="46">
        <v>30</v>
      </c>
      <c r="Q23" s="46">
        <v>0</v>
      </c>
      <c r="R23" s="46">
        <v>0</v>
      </c>
      <c r="S23" s="46">
        <v>0</v>
      </c>
    </row>
    <row r="24" spans="1:19" x14ac:dyDescent="0.2">
      <c r="A24" s="35" t="s">
        <v>238</v>
      </c>
      <c r="B24" s="46">
        <v>15</v>
      </c>
      <c r="C24" s="46">
        <v>0</v>
      </c>
      <c r="D24" s="46">
        <v>45</v>
      </c>
      <c r="E24" s="46">
        <v>5</v>
      </c>
      <c r="F24" s="46">
        <v>0</v>
      </c>
      <c r="G24" s="46">
        <v>95</v>
      </c>
      <c r="H24" s="46">
        <v>0</v>
      </c>
      <c r="I24" s="46">
        <v>0</v>
      </c>
      <c r="J24" s="46">
        <v>50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</row>
    <row r="25" spans="1:19" x14ac:dyDescent="0.2">
      <c r="A25" s="35" t="s">
        <v>239</v>
      </c>
      <c r="B25" s="46">
        <v>0</v>
      </c>
      <c r="C25" s="46">
        <v>0</v>
      </c>
      <c r="D25" s="46">
        <v>0</v>
      </c>
      <c r="E25" s="46">
        <v>5</v>
      </c>
      <c r="F25" s="46">
        <v>50</v>
      </c>
      <c r="G25" s="46">
        <v>30</v>
      </c>
      <c r="H25" s="46">
        <v>10</v>
      </c>
      <c r="I25" s="46">
        <v>0</v>
      </c>
      <c r="J25" s="46">
        <v>0</v>
      </c>
      <c r="K25" s="46">
        <v>0</v>
      </c>
      <c r="L25" s="46">
        <v>0</v>
      </c>
      <c r="M25" s="46">
        <v>15</v>
      </c>
      <c r="N25" s="46">
        <v>0</v>
      </c>
      <c r="O25" s="46">
        <v>0</v>
      </c>
      <c r="P25" s="46">
        <v>0</v>
      </c>
      <c r="Q25" s="46">
        <v>35</v>
      </c>
      <c r="R25" s="46">
        <v>5</v>
      </c>
      <c r="S25" s="46">
        <v>35</v>
      </c>
    </row>
    <row r="26" spans="1:19" x14ac:dyDescent="0.2">
      <c r="A26" s="35" t="s">
        <v>240</v>
      </c>
      <c r="B26" s="46">
        <v>0</v>
      </c>
      <c r="C26" s="46">
        <v>0</v>
      </c>
      <c r="D26" s="46">
        <v>0</v>
      </c>
      <c r="E26" s="46">
        <v>45</v>
      </c>
      <c r="F26" s="46">
        <v>150</v>
      </c>
      <c r="G26" s="46">
        <v>490</v>
      </c>
      <c r="H26" s="46">
        <v>10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</v>
      </c>
      <c r="P26" s="46">
        <v>0</v>
      </c>
      <c r="Q26" s="46">
        <v>0</v>
      </c>
      <c r="R26" s="46">
        <v>0</v>
      </c>
      <c r="S26" s="46">
        <v>15</v>
      </c>
    </row>
    <row r="27" spans="1:19" x14ac:dyDescent="0.2">
      <c r="A27" s="35" t="s">
        <v>241</v>
      </c>
      <c r="B27" s="46">
        <v>10</v>
      </c>
      <c r="C27" s="46">
        <v>0</v>
      </c>
      <c r="D27" s="46">
        <v>0</v>
      </c>
      <c r="E27" s="46">
        <v>0</v>
      </c>
      <c r="F27" s="46">
        <v>0</v>
      </c>
      <c r="G27" s="46">
        <v>95</v>
      </c>
      <c r="H27" s="46">
        <v>5</v>
      </c>
      <c r="I27" s="46">
        <v>0</v>
      </c>
      <c r="J27" s="46">
        <v>90</v>
      </c>
      <c r="K27" s="46">
        <v>0</v>
      </c>
      <c r="L27" s="46">
        <v>0</v>
      </c>
      <c r="M27" s="46">
        <v>90</v>
      </c>
      <c r="N27" s="46">
        <v>0</v>
      </c>
      <c r="O27" s="46">
        <v>0</v>
      </c>
      <c r="P27" s="46">
        <v>5</v>
      </c>
      <c r="Q27" s="46">
        <v>5</v>
      </c>
      <c r="R27" s="46">
        <v>5</v>
      </c>
      <c r="S27" s="46">
        <v>45</v>
      </c>
    </row>
    <row r="28" spans="1:19" x14ac:dyDescent="0.2">
      <c r="A28" s="35" t="s">
        <v>242</v>
      </c>
      <c r="B28" s="46">
        <v>0</v>
      </c>
      <c r="C28" s="46">
        <v>0</v>
      </c>
      <c r="D28" s="46">
        <v>0</v>
      </c>
      <c r="E28" s="46">
        <v>5</v>
      </c>
      <c r="F28" s="46">
        <v>5</v>
      </c>
      <c r="G28" s="46">
        <v>55</v>
      </c>
      <c r="H28" s="46">
        <v>0</v>
      </c>
      <c r="I28" s="46">
        <v>0</v>
      </c>
      <c r="J28" s="46">
        <v>0</v>
      </c>
      <c r="K28" s="46">
        <v>0</v>
      </c>
      <c r="L28" s="46">
        <v>20</v>
      </c>
      <c r="M28" s="46">
        <v>25</v>
      </c>
      <c r="N28" s="46">
        <v>5</v>
      </c>
      <c r="O28" s="46">
        <v>20</v>
      </c>
      <c r="P28" s="46">
        <v>25</v>
      </c>
      <c r="Q28" s="46">
        <v>15</v>
      </c>
      <c r="R28" s="46">
        <v>0</v>
      </c>
      <c r="S28" s="46">
        <v>25</v>
      </c>
    </row>
    <row r="29" spans="1:19" x14ac:dyDescent="0.2">
      <c r="A29" s="35" t="s">
        <v>243</v>
      </c>
      <c r="B29" s="46">
        <v>5</v>
      </c>
      <c r="C29" s="46">
        <v>0</v>
      </c>
      <c r="D29" s="46">
        <v>0</v>
      </c>
      <c r="E29" s="46">
        <v>10</v>
      </c>
      <c r="F29" s="46">
        <v>5</v>
      </c>
      <c r="G29" s="46">
        <v>85</v>
      </c>
      <c r="H29" s="46">
        <v>0</v>
      </c>
      <c r="I29" s="46">
        <v>0</v>
      </c>
      <c r="J29" s="46">
        <v>30</v>
      </c>
      <c r="K29" s="46">
        <v>5</v>
      </c>
      <c r="L29" s="46">
        <v>0</v>
      </c>
      <c r="M29" s="46">
        <v>0</v>
      </c>
      <c r="N29" s="46">
        <v>5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</row>
    <row r="30" spans="1:19" x14ac:dyDescent="0.2">
      <c r="A30" s="35" t="s">
        <v>244</v>
      </c>
      <c r="B30" s="46">
        <v>10</v>
      </c>
      <c r="C30" s="46">
        <v>0</v>
      </c>
      <c r="D30" s="46">
        <v>15</v>
      </c>
      <c r="E30" s="46">
        <v>10</v>
      </c>
      <c r="F30" s="46">
        <v>35</v>
      </c>
      <c r="G30" s="46">
        <v>55</v>
      </c>
      <c r="H30" s="46">
        <v>0</v>
      </c>
      <c r="I30" s="46">
        <v>0</v>
      </c>
      <c r="J30" s="46">
        <v>60</v>
      </c>
      <c r="K30" s="46">
        <v>0</v>
      </c>
      <c r="L30" s="46">
        <v>40</v>
      </c>
      <c r="M30" s="46">
        <v>0</v>
      </c>
      <c r="N30" s="46">
        <v>0</v>
      </c>
      <c r="O30" s="46">
        <v>0</v>
      </c>
      <c r="P30" s="46">
        <v>15</v>
      </c>
      <c r="Q30" s="46">
        <v>0</v>
      </c>
      <c r="R30" s="46">
        <v>0</v>
      </c>
      <c r="S30" s="46">
        <v>0</v>
      </c>
    </row>
    <row r="31" spans="1:19" x14ac:dyDescent="0.2">
      <c r="A31" s="35" t="s">
        <v>245</v>
      </c>
      <c r="B31" s="46">
        <v>5</v>
      </c>
      <c r="C31" s="46">
        <v>0</v>
      </c>
      <c r="D31" s="46">
        <v>70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15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5</v>
      </c>
      <c r="S31" s="46">
        <v>0</v>
      </c>
    </row>
    <row r="32" spans="1:19" x14ac:dyDescent="0.2">
      <c r="A32" s="35" t="s">
        <v>246</v>
      </c>
      <c r="B32" s="46">
        <v>0</v>
      </c>
      <c r="C32" s="46">
        <v>0</v>
      </c>
      <c r="D32" s="46">
        <v>5</v>
      </c>
      <c r="E32" s="46">
        <v>10</v>
      </c>
      <c r="F32" s="46">
        <v>25</v>
      </c>
      <c r="G32" s="46">
        <v>65</v>
      </c>
      <c r="H32" s="46">
        <v>0</v>
      </c>
      <c r="I32" s="46">
        <v>25</v>
      </c>
      <c r="J32" s="46">
        <v>5</v>
      </c>
      <c r="K32" s="46">
        <v>0</v>
      </c>
      <c r="L32" s="46">
        <v>30</v>
      </c>
      <c r="M32" s="46">
        <v>10</v>
      </c>
      <c r="N32" s="46">
        <v>0</v>
      </c>
      <c r="O32" s="46">
        <v>0</v>
      </c>
      <c r="P32" s="46">
        <v>0</v>
      </c>
      <c r="Q32" s="46">
        <v>0</v>
      </c>
      <c r="R32" s="46">
        <v>0</v>
      </c>
      <c r="S32" s="46">
        <v>0</v>
      </c>
    </row>
    <row r="33" spans="1:19" x14ac:dyDescent="0.2">
      <c r="A33" s="35" t="s">
        <v>247</v>
      </c>
      <c r="B33" s="46">
        <v>0</v>
      </c>
      <c r="C33" s="46">
        <v>0</v>
      </c>
      <c r="D33" s="46">
        <v>0</v>
      </c>
      <c r="E33" s="46">
        <v>20</v>
      </c>
      <c r="F33" s="46">
        <v>30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</row>
    <row r="34" spans="1:19" x14ac:dyDescent="0.2">
      <c r="A34" s="35" t="s">
        <v>248</v>
      </c>
      <c r="B34" s="46">
        <v>20</v>
      </c>
      <c r="C34" s="46">
        <v>0</v>
      </c>
      <c r="D34" s="46">
        <v>0</v>
      </c>
      <c r="E34" s="46">
        <v>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20</v>
      </c>
      <c r="M34" s="46">
        <v>0</v>
      </c>
      <c r="N34" s="46">
        <v>0</v>
      </c>
      <c r="O34" s="46">
        <v>0</v>
      </c>
      <c r="P34" s="46">
        <v>15</v>
      </c>
      <c r="Q34" s="46">
        <v>0</v>
      </c>
      <c r="R34" s="46">
        <v>0</v>
      </c>
      <c r="S34" s="46">
        <v>0</v>
      </c>
    </row>
    <row r="35" spans="1:19" x14ac:dyDescent="0.2">
      <c r="A35" s="35" t="s">
        <v>249</v>
      </c>
      <c r="B35" s="46">
        <v>0</v>
      </c>
      <c r="C35" s="46">
        <v>0</v>
      </c>
      <c r="D35" s="46">
        <v>0</v>
      </c>
      <c r="E35" s="46">
        <v>80</v>
      </c>
      <c r="F35" s="46">
        <v>290</v>
      </c>
      <c r="G35" s="46">
        <v>940</v>
      </c>
      <c r="H35" s="46">
        <v>0</v>
      </c>
      <c r="I35" s="46">
        <v>20</v>
      </c>
      <c r="J35" s="46">
        <v>45</v>
      </c>
      <c r="K35" s="46">
        <v>0</v>
      </c>
      <c r="L35" s="46">
        <v>35</v>
      </c>
      <c r="M35" s="46">
        <v>0</v>
      </c>
      <c r="N35" s="46">
        <v>0</v>
      </c>
      <c r="O35" s="46">
        <v>0</v>
      </c>
      <c r="P35" s="46">
        <v>0</v>
      </c>
      <c r="Q35" s="46">
        <v>95</v>
      </c>
      <c r="R35" s="46">
        <v>20</v>
      </c>
      <c r="S35" s="46">
        <v>145</v>
      </c>
    </row>
    <row r="36" spans="1:19" x14ac:dyDescent="0.2">
      <c r="A36" s="35" t="s">
        <v>250</v>
      </c>
      <c r="B36" s="46">
        <v>55</v>
      </c>
      <c r="C36" s="46">
        <v>175</v>
      </c>
      <c r="D36" s="46">
        <v>280</v>
      </c>
      <c r="E36" s="46">
        <v>1340</v>
      </c>
      <c r="F36" s="46">
        <v>2390</v>
      </c>
      <c r="G36" s="46">
        <v>2630</v>
      </c>
      <c r="H36" s="46">
        <v>1585</v>
      </c>
      <c r="I36" s="46">
        <v>960</v>
      </c>
      <c r="J36" s="46">
        <v>1980</v>
      </c>
      <c r="K36" s="46">
        <v>830</v>
      </c>
      <c r="L36" s="46">
        <v>700</v>
      </c>
      <c r="M36" s="46">
        <v>825</v>
      </c>
      <c r="N36" s="46">
        <v>400</v>
      </c>
      <c r="O36" s="46">
        <v>295</v>
      </c>
      <c r="P36" s="46">
        <v>760</v>
      </c>
      <c r="Q36" s="46">
        <v>3025</v>
      </c>
      <c r="R36" s="46">
        <v>1230</v>
      </c>
      <c r="S36" s="46">
        <v>3970</v>
      </c>
    </row>
    <row r="38" spans="1:19" ht="21" x14ac:dyDescent="0.25">
      <c r="A38" s="32" t="s">
        <v>270</v>
      </c>
    </row>
    <row r="39" spans="1:19" x14ac:dyDescent="0.2">
      <c r="A39" s="9"/>
      <c r="B39" s="33" t="s">
        <v>217</v>
      </c>
      <c r="C39" s="33" t="s">
        <v>218</v>
      </c>
      <c r="D39" s="33" t="s">
        <v>219</v>
      </c>
      <c r="E39" s="33" t="s">
        <v>220</v>
      </c>
      <c r="F39" s="33" t="s">
        <v>221</v>
      </c>
      <c r="G39" s="33" t="s">
        <v>222</v>
      </c>
      <c r="H39" s="33" t="s">
        <v>223</v>
      </c>
      <c r="I39" s="33" t="s">
        <v>224</v>
      </c>
      <c r="J39" s="33" t="s">
        <v>225</v>
      </c>
      <c r="K39" s="33" t="s">
        <v>226</v>
      </c>
      <c r="L39" s="33" t="s">
        <v>227</v>
      </c>
      <c r="M39" s="33" t="s">
        <v>228</v>
      </c>
      <c r="N39" s="33" t="s">
        <v>229</v>
      </c>
      <c r="O39" s="33" t="s">
        <v>230</v>
      </c>
      <c r="P39" s="33" t="s">
        <v>231</v>
      </c>
      <c r="Q39" s="33" t="s">
        <v>232</v>
      </c>
      <c r="R39" s="33" t="s">
        <v>233</v>
      </c>
      <c r="S39" s="33" t="s">
        <v>234</v>
      </c>
    </row>
    <row r="40" spans="1:19" x14ac:dyDescent="0.2">
      <c r="A40" s="35" t="s">
        <v>235</v>
      </c>
      <c r="B40" s="46">
        <v>3325</v>
      </c>
      <c r="C40" s="46">
        <v>1325</v>
      </c>
      <c r="D40" s="46">
        <v>1675</v>
      </c>
      <c r="E40" s="46">
        <v>960</v>
      </c>
      <c r="F40" s="46">
        <v>340</v>
      </c>
      <c r="G40" s="46">
        <v>1415</v>
      </c>
      <c r="H40" s="46">
        <v>2305</v>
      </c>
      <c r="I40" s="46">
        <v>830</v>
      </c>
      <c r="J40" s="46">
        <v>2450</v>
      </c>
      <c r="K40" s="46">
        <v>845</v>
      </c>
      <c r="L40" s="46">
        <v>495</v>
      </c>
      <c r="M40" s="46">
        <v>1590</v>
      </c>
      <c r="N40" s="46">
        <v>1310</v>
      </c>
      <c r="O40" s="46">
        <v>540</v>
      </c>
      <c r="P40" s="46">
        <v>970</v>
      </c>
      <c r="Q40" s="46">
        <v>1050</v>
      </c>
      <c r="R40" s="46">
        <v>925</v>
      </c>
      <c r="S40" s="46">
        <v>1535</v>
      </c>
    </row>
    <row r="41" spans="1:19" x14ac:dyDescent="0.2">
      <c r="A41" s="35" t="s">
        <v>236</v>
      </c>
      <c r="B41" s="46">
        <v>10</v>
      </c>
      <c r="C41" s="46">
        <v>35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50</v>
      </c>
      <c r="J41" s="46">
        <v>15</v>
      </c>
      <c r="K41" s="46">
        <v>0</v>
      </c>
      <c r="L41" s="46">
        <v>0</v>
      </c>
      <c r="M41" s="46">
        <v>0</v>
      </c>
      <c r="N41" s="46">
        <v>0</v>
      </c>
      <c r="O41" s="46">
        <v>25</v>
      </c>
      <c r="P41" s="46">
        <v>40</v>
      </c>
      <c r="Q41" s="46">
        <v>0</v>
      </c>
      <c r="R41" s="46">
        <v>15</v>
      </c>
      <c r="S41" s="46">
        <v>0</v>
      </c>
    </row>
    <row r="42" spans="1:19" x14ac:dyDescent="0.2">
      <c r="A42" s="35" t="s">
        <v>237</v>
      </c>
      <c r="B42" s="46">
        <v>0</v>
      </c>
      <c r="C42" s="46">
        <v>0</v>
      </c>
      <c r="D42" s="46">
        <v>0</v>
      </c>
      <c r="E42" s="46">
        <v>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35</v>
      </c>
      <c r="P42" s="46">
        <v>15</v>
      </c>
      <c r="Q42" s="46">
        <v>0</v>
      </c>
      <c r="R42" s="46">
        <v>0</v>
      </c>
      <c r="S42" s="46">
        <v>0</v>
      </c>
    </row>
    <row r="43" spans="1:19" x14ac:dyDescent="0.2">
      <c r="A43" s="35" t="s">
        <v>238</v>
      </c>
      <c r="B43" s="46">
        <v>0</v>
      </c>
      <c r="C43" s="46">
        <v>45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20</v>
      </c>
      <c r="M43" s="46">
        <v>0</v>
      </c>
      <c r="N43" s="46">
        <v>0</v>
      </c>
      <c r="O43" s="46">
        <v>0</v>
      </c>
      <c r="P43" s="46">
        <v>15</v>
      </c>
      <c r="Q43" s="46">
        <v>0</v>
      </c>
      <c r="R43" s="46">
        <v>0</v>
      </c>
      <c r="S43" s="46">
        <v>60</v>
      </c>
    </row>
    <row r="44" spans="1:19" x14ac:dyDescent="0.2">
      <c r="A44" s="35" t="s">
        <v>239</v>
      </c>
      <c r="B44" s="46">
        <v>0</v>
      </c>
      <c r="C44" s="46">
        <v>45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15</v>
      </c>
      <c r="M44" s="46">
        <v>5</v>
      </c>
      <c r="N44" s="46">
        <v>0</v>
      </c>
      <c r="O44" s="46">
        <v>35</v>
      </c>
      <c r="P44" s="46">
        <v>30</v>
      </c>
      <c r="Q44" s="46">
        <v>5</v>
      </c>
      <c r="R44" s="46">
        <v>10</v>
      </c>
      <c r="S44" s="46">
        <v>0</v>
      </c>
    </row>
    <row r="45" spans="1:19" x14ac:dyDescent="0.2">
      <c r="A45" s="35" t="s">
        <v>240</v>
      </c>
      <c r="B45" s="46">
        <v>0</v>
      </c>
      <c r="C45" s="46">
        <v>15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30</v>
      </c>
      <c r="K45" s="46">
        <v>5</v>
      </c>
      <c r="L45" s="46">
        <v>15</v>
      </c>
      <c r="M45" s="46">
        <v>120</v>
      </c>
      <c r="N45" s="46">
        <v>0</v>
      </c>
      <c r="O45" s="46">
        <v>50</v>
      </c>
      <c r="P45" s="46">
        <v>35</v>
      </c>
      <c r="Q45" s="46">
        <v>5</v>
      </c>
      <c r="R45" s="46">
        <v>45</v>
      </c>
      <c r="S45" s="46">
        <v>30</v>
      </c>
    </row>
    <row r="46" spans="1:19" x14ac:dyDescent="0.2">
      <c r="A46" s="35" t="s">
        <v>241</v>
      </c>
      <c r="B46" s="46">
        <v>0</v>
      </c>
      <c r="C46" s="46">
        <v>35</v>
      </c>
      <c r="D46" s="46">
        <v>0</v>
      </c>
      <c r="E46" s="46">
        <v>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60</v>
      </c>
      <c r="M46" s="46">
        <v>0</v>
      </c>
      <c r="N46" s="46">
        <v>0</v>
      </c>
      <c r="O46" s="46">
        <v>5</v>
      </c>
      <c r="P46" s="46">
        <v>0</v>
      </c>
      <c r="Q46" s="46">
        <v>0</v>
      </c>
      <c r="R46" s="46">
        <v>60</v>
      </c>
      <c r="S46" s="46">
        <v>30</v>
      </c>
    </row>
    <row r="47" spans="1:19" x14ac:dyDescent="0.2">
      <c r="A47" s="35" t="s">
        <v>242</v>
      </c>
      <c r="B47" s="46">
        <v>0</v>
      </c>
      <c r="C47" s="46">
        <v>45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50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75</v>
      </c>
      <c r="Q47" s="46">
        <v>15</v>
      </c>
      <c r="R47" s="46">
        <v>0</v>
      </c>
      <c r="S47" s="46">
        <v>50</v>
      </c>
    </row>
    <row r="48" spans="1:19" x14ac:dyDescent="0.2">
      <c r="A48" s="35" t="s">
        <v>243</v>
      </c>
      <c r="B48" s="46">
        <v>0</v>
      </c>
      <c r="C48" s="46">
        <v>25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25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45</v>
      </c>
      <c r="Q48" s="46">
        <v>0</v>
      </c>
      <c r="R48" s="46">
        <v>25</v>
      </c>
      <c r="S48" s="46">
        <v>50</v>
      </c>
    </row>
    <row r="49" spans="1:19" x14ac:dyDescent="0.2">
      <c r="A49" s="35" t="s">
        <v>244</v>
      </c>
      <c r="B49" s="46">
        <v>0</v>
      </c>
      <c r="C49" s="46">
        <v>15</v>
      </c>
      <c r="D49" s="46">
        <v>0</v>
      </c>
      <c r="E49" s="46">
        <v>0</v>
      </c>
      <c r="F49" s="46">
        <v>15</v>
      </c>
      <c r="G49" s="46">
        <v>20</v>
      </c>
      <c r="H49" s="46">
        <v>0</v>
      </c>
      <c r="I49" s="46">
        <v>0</v>
      </c>
      <c r="J49" s="46">
        <v>60</v>
      </c>
      <c r="K49" s="46">
        <v>0</v>
      </c>
      <c r="L49" s="46">
        <v>50</v>
      </c>
      <c r="M49" s="46">
        <v>0</v>
      </c>
      <c r="N49" s="46">
        <v>0</v>
      </c>
      <c r="O49" s="46">
        <v>0</v>
      </c>
      <c r="P49" s="46">
        <v>55</v>
      </c>
      <c r="Q49" s="46">
        <v>10</v>
      </c>
      <c r="R49" s="46">
        <v>20</v>
      </c>
      <c r="S49" s="46">
        <v>70</v>
      </c>
    </row>
    <row r="50" spans="1:19" x14ac:dyDescent="0.2">
      <c r="A50" s="35" t="s">
        <v>245</v>
      </c>
      <c r="B50" s="46">
        <v>0</v>
      </c>
      <c r="C50" s="46">
        <v>15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25</v>
      </c>
      <c r="M50" s="46">
        <v>0</v>
      </c>
      <c r="N50" s="46">
        <v>0</v>
      </c>
      <c r="O50" s="46">
        <v>0</v>
      </c>
      <c r="P50" s="46">
        <v>0</v>
      </c>
      <c r="Q50" s="46">
        <v>15</v>
      </c>
      <c r="R50" s="46">
        <v>30</v>
      </c>
      <c r="S50" s="46">
        <v>75</v>
      </c>
    </row>
    <row r="51" spans="1:19" x14ac:dyDescent="0.2">
      <c r="A51" s="35" t="s">
        <v>246</v>
      </c>
      <c r="B51" s="46">
        <v>5</v>
      </c>
      <c r="C51" s="46">
        <v>20</v>
      </c>
      <c r="D51" s="46">
        <v>100</v>
      </c>
      <c r="E51" s="46">
        <v>35</v>
      </c>
      <c r="F51" s="46">
        <v>0</v>
      </c>
      <c r="G51" s="46">
        <v>0</v>
      </c>
      <c r="H51" s="46">
        <v>0</v>
      </c>
      <c r="I51" s="46">
        <v>0</v>
      </c>
      <c r="J51" s="46">
        <v>20</v>
      </c>
      <c r="K51" s="46">
        <v>0</v>
      </c>
      <c r="L51" s="46">
        <v>5</v>
      </c>
      <c r="M51" s="46">
        <v>0</v>
      </c>
      <c r="N51" s="46">
        <v>10</v>
      </c>
      <c r="O51" s="46">
        <v>0</v>
      </c>
      <c r="P51" s="46">
        <v>25</v>
      </c>
      <c r="Q51" s="46">
        <v>5</v>
      </c>
      <c r="R51" s="46">
        <v>0</v>
      </c>
      <c r="S51" s="46">
        <v>0</v>
      </c>
    </row>
    <row r="52" spans="1:19" x14ac:dyDescent="0.2">
      <c r="A52" s="35" t="s">
        <v>247</v>
      </c>
      <c r="B52" s="46">
        <v>0</v>
      </c>
      <c r="C52" s="46">
        <v>40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10</v>
      </c>
      <c r="M52" s="46">
        <v>0</v>
      </c>
      <c r="N52" s="46">
        <v>0</v>
      </c>
      <c r="O52" s="46">
        <v>110</v>
      </c>
      <c r="P52" s="46">
        <v>25</v>
      </c>
      <c r="Q52" s="46">
        <v>5</v>
      </c>
      <c r="R52" s="46">
        <v>40</v>
      </c>
      <c r="S52" s="46">
        <v>80</v>
      </c>
    </row>
    <row r="53" spans="1:19" x14ac:dyDescent="0.2">
      <c r="A53" s="35" t="s">
        <v>248</v>
      </c>
      <c r="B53" s="46">
        <v>5</v>
      </c>
      <c r="C53" s="46">
        <v>25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15</v>
      </c>
      <c r="J53" s="46">
        <v>35</v>
      </c>
      <c r="K53" s="46">
        <v>0</v>
      </c>
      <c r="L53" s="46">
        <v>25</v>
      </c>
      <c r="M53" s="46">
        <v>0</v>
      </c>
      <c r="N53" s="46">
        <v>0</v>
      </c>
      <c r="O53" s="46">
        <v>0</v>
      </c>
      <c r="P53" s="46">
        <v>10</v>
      </c>
      <c r="Q53" s="46">
        <v>15</v>
      </c>
      <c r="R53" s="46">
        <v>40</v>
      </c>
      <c r="S53" s="46">
        <v>35</v>
      </c>
    </row>
    <row r="54" spans="1:19" x14ac:dyDescent="0.2">
      <c r="A54" s="35" t="s">
        <v>271</v>
      </c>
      <c r="B54" s="46">
        <v>0</v>
      </c>
      <c r="C54" s="46">
        <v>5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10</v>
      </c>
      <c r="K54" s="46">
        <v>0</v>
      </c>
      <c r="L54" s="46">
        <v>0</v>
      </c>
      <c r="M54" s="46">
        <v>0</v>
      </c>
      <c r="N54" s="46">
        <v>0</v>
      </c>
      <c r="O54" s="46">
        <v>50</v>
      </c>
      <c r="P54" s="46">
        <v>0</v>
      </c>
      <c r="Q54" s="46">
        <v>25</v>
      </c>
      <c r="R54" s="46">
        <v>10</v>
      </c>
      <c r="S54" s="46">
        <v>0</v>
      </c>
    </row>
    <row r="55" spans="1:19" x14ac:dyDescent="0.2">
      <c r="A55" s="35" t="s">
        <v>272</v>
      </c>
      <c r="B55" s="46">
        <v>75</v>
      </c>
      <c r="C55" s="46">
        <v>40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70</v>
      </c>
      <c r="K55" s="46">
        <v>0</v>
      </c>
      <c r="L55" s="46">
        <v>40</v>
      </c>
      <c r="M55" s="46">
        <v>10</v>
      </c>
      <c r="N55" s="46">
        <v>5</v>
      </c>
      <c r="O55" s="46">
        <v>50</v>
      </c>
      <c r="P55" s="46">
        <v>20</v>
      </c>
      <c r="Q55" s="46">
        <v>0</v>
      </c>
      <c r="R55" s="46">
        <v>0</v>
      </c>
      <c r="S55" s="46">
        <v>0</v>
      </c>
    </row>
    <row r="56" spans="1:19" x14ac:dyDescent="0.2">
      <c r="A56" s="35" t="s">
        <v>273</v>
      </c>
      <c r="B56" s="46">
        <v>120</v>
      </c>
      <c r="C56" s="46">
        <v>85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10</v>
      </c>
      <c r="K56" s="46">
        <v>0</v>
      </c>
      <c r="L56" s="46">
        <v>0</v>
      </c>
      <c r="M56" s="46">
        <v>10</v>
      </c>
      <c r="N56" s="46">
        <v>0</v>
      </c>
      <c r="O56" s="46">
        <v>0</v>
      </c>
      <c r="P56" s="46">
        <v>45</v>
      </c>
      <c r="Q56" s="46">
        <v>0</v>
      </c>
      <c r="R56" s="46">
        <v>0</v>
      </c>
      <c r="S56" s="46">
        <v>0</v>
      </c>
    </row>
    <row r="57" spans="1:19" x14ac:dyDescent="0.2">
      <c r="A57" s="35" t="s">
        <v>274</v>
      </c>
      <c r="B57" s="46">
        <v>0</v>
      </c>
      <c r="C57" s="46">
        <v>35</v>
      </c>
      <c r="D57" s="46">
        <v>100</v>
      </c>
      <c r="E57" s="46">
        <v>0</v>
      </c>
      <c r="F57" s="46">
        <v>5</v>
      </c>
      <c r="G57" s="46">
        <v>0</v>
      </c>
      <c r="H57" s="46">
        <v>10</v>
      </c>
      <c r="I57" s="46">
        <v>35</v>
      </c>
      <c r="J57" s="46">
        <v>40</v>
      </c>
      <c r="K57" s="46">
        <v>0</v>
      </c>
      <c r="L57" s="46">
        <v>15</v>
      </c>
      <c r="M57" s="46">
        <v>20</v>
      </c>
      <c r="N57" s="46">
        <v>0</v>
      </c>
      <c r="O57" s="46">
        <v>195</v>
      </c>
      <c r="P57" s="46">
        <v>25</v>
      </c>
      <c r="Q57" s="46">
        <v>10</v>
      </c>
      <c r="R57" s="46">
        <v>35</v>
      </c>
      <c r="S57" s="46">
        <v>0</v>
      </c>
    </row>
    <row r="58" spans="1:19" x14ac:dyDescent="0.2">
      <c r="A58" s="35" t="s">
        <v>275</v>
      </c>
      <c r="B58" s="46">
        <v>0</v>
      </c>
      <c r="C58" s="46">
        <v>15</v>
      </c>
      <c r="D58" s="46">
        <v>110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25</v>
      </c>
      <c r="K58" s="46">
        <v>0</v>
      </c>
      <c r="L58" s="46">
        <v>30</v>
      </c>
      <c r="M58" s="46">
        <v>0</v>
      </c>
      <c r="N58" s="46">
        <v>0</v>
      </c>
      <c r="O58" s="46">
        <v>0</v>
      </c>
      <c r="P58" s="46">
        <v>40</v>
      </c>
      <c r="Q58" s="46">
        <v>20</v>
      </c>
      <c r="R58" s="46">
        <v>160</v>
      </c>
      <c r="S58" s="46">
        <v>35</v>
      </c>
    </row>
    <row r="59" spans="1:19" x14ac:dyDescent="0.2">
      <c r="A59" s="35" t="s">
        <v>276</v>
      </c>
      <c r="B59" s="46">
        <v>5</v>
      </c>
      <c r="C59" s="46">
        <v>55</v>
      </c>
      <c r="D59" s="46">
        <v>30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30</v>
      </c>
      <c r="K59" s="46">
        <v>0</v>
      </c>
      <c r="L59" s="46">
        <v>45</v>
      </c>
      <c r="M59" s="46">
        <v>0</v>
      </c>
      <c r="N59" s="46">
        <v>0</v>
      </c>
      <c r="O59" s="46">
        <v>200</v>
      </c>
      <c r="P59" s="46">
        <v>35</v>
      </c>
      <c r="Q59" s="46">
        <v>0</v>
      </c>
      <c r="R59" s="46">
        <v>100</v>
      </c>
      <c r="S59" s="46">
        <v>0</v>
      </c>
    </row>
    <row r="60" spans="1:19" x14ac:dyDescent="0.2">
      <c r="A60" s="35" t="s">
        <v>137</v>
      </c>
      <c r="B60" s="46">
        <v>0</v>
      </c>
      <c r="C60" s="46">
        <v>0</v>
      </c>
      <c r="D60" s="46">
        <v>40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145</v>
      </c>
      <c r="P60" s="46">
        <v>35</v>
      </c>
      <c r="Q60" s="46">
        <v>0</v>
      </c>
      <c r="R60" s="46">
        <v>100</v>
      </c>
      <c r="S60" s="46">
        <v>0</v>
      </c>
    </row>
    <row r="61" spans="1:19" x14ac:dyDescent="0.2">
      <c r="A61" s="35" t="s">
        <v>277</v>
      </c>
      <c r="B61" s="46">
        <v>0</v>
      </c>
      <c r="C61" s="46">
        <v>25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60</v>
      </c>
      <c r="M61" s="46">
        <v>0</v>
      </c>
      <c r="N61" s="46">
        <v>0</v>
      </c>
      <c r="O61" s="46">
        <v>75</v>
      </c>
      <c r="P61" s="46">
        <v>30</v>
      </c>
      <c r="Q61" s="46">
        <v>0</v>
      </c>
      <c r="R61" s="46">
        <v>75</v>
      </c>
      <c r="S61" s="46">
        <v>0</v>
      </c>
    </row>
    <row r="62" spans="1:19" x14ac:dyDescent="0.2">
      <c r="A62" s="35" t="s">
        <v>250</v>
      </c>
      <c r="B62" s="46">
        <v>1920</v>
      </c>
      <c r="C62" s="46">
        <v>1735</v>
      </c>
      <c r="D62" s="46">
        <v>840</v>
      </c>
      <c r="E62" s="46">
        <v>755</v>
      </c>
      <c r="F62" s="46">
        <v>1090</v>
      </c>
      <c r="G62" s="46">
        <v>865</v>
      </c>
      <c r="H62" s="46">
        <v>960</v>
      </c>
      <c r="I62" s="46">
        <v>1140</v>
      </c>
      <c r="J62" s="46">
        <v>730</v>
      </c>
      <c r="K62" s="46">
        <v>715</v>
      </c>
      <c r="L62" s="46">
        <v>395</v>
      </c>
      <c r="M62" s="46">
        <v>1085</v>
      </c>
      <c r="N62" s="46">
        <v>1835</v>
      </c>
      <c r="O62" s="46">
        <v>1175</v>
      </c>
      <c r="P62" s="46">
        <v>1020</v>
      </c>
      <c r="Q62" s="46">
        <v>1250</v>
      </c>
      <c r="R62" s="46">
        <v>1490</v>
      </c>
      <c r="S62" s="46">
        <v>980</v>
      </c>
    </row>
    <row r="64" spans="1:19" ht="18" x14ac:dyDescent="0.2">
      <c r="A64" s="58" t="s">
        <v>278</v>
      </c>
    </row>
    <row r="65" spans="1:19" x14ac:dyDescent="0.2">
      <c r="B65" s="33" t="s">
        <v>252</v>
      </c>
      <c r="C65" s="33" t="s">
        <v>253</v>
      </c>
      <c r="D65" s="33" t="s">
        <v>254</v>
      </c>
      <c r="E65" s="33" t="s">
        <v>255</v>
      </c>
      <c r="F65" s="33" t="s">
        <v>256</v>
      </c>
      <c r="G65" s="33" t="s">
        <v>257</v>
      </c>
      <c r="H65" s="33" t="s">
        <v>258</v>
      </c>
      <c r="I65" s="33" t="s">
        <v>259</v>
      </c>
      <c r="J65" s="33" t="s">
        <v>260</v>
      </c>
      <c r="K65" s="33" t="s">
        <v>261</v>
      </c>
      <c r="L65" s="33" t="s">
        <v>262</v>
      </c>
      <c r="M65" s="33" t="s">
        <v>263</v>
      </c>
      <c r="N65" s="33" t="s">
        <v>264</v>
      </c>
      <c r="O65" s="33" t="s">
        <v>265</v>
      </c>
      <c r="P65" s="33" t="s">
        <v>266</v>
      </c>
      <c r="Q65" s="33" t="s">
        <v>267</v>
      </c>
      <c r="R65" s="33" t="s">
        <v>268</v>
      </c>
      <c r="S65" s="33" t="s">
        <v>269</v>
      </c>
    </row>
    <row r="66" spans="1:19" x14ac:dyDescent="0.2">
      <c r="A66" s="35" t="s">
        <v>235</v>
      </c>
      <c r="B66" s="46">
        <v>30</v>
      </c>
      <c r="C66" s="46">
        <v>365</v>
      </c>
      <c r="D66" s="46">
        <v>480</v>
      </c>
      <c r="E66" s="46">
        <v>1470</v>
      </c>
      <c r="F66" s="46">
        <v>1925</v>
      </c>
      <c r="G66" s="46">
        <v>2485</v>
      </c>
      <c r="H66" s="46">
        <v>1475</v>
      </c>
      <c r="I66" s="46">
        <v>500</v>
      </c>
      <c r="J66" s="46">
        <v>1480</v>
      </c>
      <c r="K66" s="46">
        <v>1055</v>
      </c>
      <c r="L66" s="46">
        <v>415</v>
      </c>
      <c r="M66" s="46">
        <v>615</v>
      </c>
      <c r="N66" s="46">
        <v>885</v>
      </c>
      <c r="O66" s="46">
        <v>310</v>
      </c>
      <c r="P66" s="46">
        <v>1470</v>
      </c>
      <c r="Q66" s="46">
        <v>3290</v>
      </c>
      <c r="R66" s="46">
        <v>1090</v>
      </c>
      <c r="S66" s="46">
        <v>2090</v>
      </c>
    </row>
    <row r="67" spans="1:19" x14ac:dyDescent="0.2">
      <c r="A67" s="35" t="s">
        <v>236</v>
      </c>
      <c r="B67" s="46">
        <v>0</v>
      </c>
      <c r="C67" s="46">
        <v>0</v>
      </c>
      <c r="D67" s="46">
        <v>0</v>
      </c>
      <c r="E67" s="46">
        <v>0</v>
      </c>
      <c r="F67" s="46">
        <v>5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v>20</v>
      </c>
      <c r="Q67" s="46">
        <v>0</v>
      </c>
      <c r="R67" s="46">
        <v>0</v>
      </c>
      <c r="S67" s="46">
        <v>0</v>
      </c>
    </row>
    <row r="68" spans="1:19" x14ac:dyDescent="0.2">
      <c r="A68" s="35" t="s">
        <v>237</v>
      </c>
      <c r="B68" s="46">
        <v>0</v>
      </c>
      <c r="C68" s="46">
        <v>0</v>
      </c>
      <c r="D68" s="46">
        <v>0</v>
      </c>
      <c r="E68" s="46">
        <v>15</v>
      </c>
      <c r="F68" s="46">
        <v>10</v>
      </c>
      <c r="G68" s="46">
        <v>40</v>
      </c>
      <c r="H68" s="46">
        <v>0</v>
      </c>
      <c r="I68" s="46">
        <v>15</v>
      </c>
      <c r="J68" s="46">
        <v>0</v>
      </c>
      <c r="K68" s="46">
        <v>0</v>
      </c>
      <c r="L68" s="46">
        <v>5</v>
      </c>
      <c r="M68" s="46">
        <v>0</v>
      </c>
      <c r="N68" s="46">
        <v>9</v>
      </c>
      <c r="O68" s="46">
        <v>0</v>
      </c>
      <c r="P68" s="46">
        <v>35</v>
      </c>
      <c r="Q68" s="46">
        <v>0</v>
      </c>
      <c r="R68" s="46">
        <v>0</v>
      </c>
      <c r="S68" s="46">
        <v>0</v>
      </c>
    </row>
    <row r="69" spans="1:19" x14ac:dyDescent="0.2">
      <c r="A69" s="35" t="s">
        <v>238</v>
      </c>
      <c r="B69" s="46">
        <v>0</v>
      </c>
      <c r="C69" s="46">
        <v>0</v>
      </c>
      <c r="D69" s="46">
        <v>0</v>
      </c>
      <c r="E69" s="46">
        <v>15</v>
      </c>
      <c r="F69" s="46">
        <v>10</v>
      </c>
      <c r="G69" s="46">
        <v>45</v>
      </c>
      <c r="H69" s="46">
        <v>0</v>
      </c>
      <c r="I69" s="46">
        <v>30</v>
      </c>
      <c r="J69" s="46">
        <v>0</v>
      </c>
      <c r="K69" s="46">
        <v>0</v>
      </c>
      <c r="L69" s="46">
        <v>20</v>
      </c>
      <c r="M69" s="46">
        <v>0</v>
      </c>
      <c r="N69" s="46">
        <v>0</v>
      </c>
      <c r="O69" s="46">
        <v>0</v>
      </c>
      <c r="P69" s="46">
        <v>0</v>
      </c>
      <c r="Q69" s="46">
        <v>0</v>
      </c>
      <c r="R69" s="46">
        <v>0</v>
      </c>
      <c r="S69" s="46">
        <v>0</v>
      </c>
    </row>
    <row r="70" spans="1:19" x14ac:dyDescent="0.2">
      <c r="A70" s="35" t="s">
        <v>239</v>
      </c>
      <c r="B70" s="46">
        <v>5</v>
      </c>
      <c r="C70" s="46">
        <v>0</v>
      </c>
      <c r="D70" s="46">
        <v>0</v>
      </c>
      <c r="E70" s="46">
        <v>15</v>
      </c>
      <c r="F70" s="46">
        <v>15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v>5</v>
      </c>
      <c r="Q70" s="46">
        <v>0</v>
      </c>
      <c r="R70" s="46">
        <v>0</v>
      </c>
      <c r="S70" s="46">
        <v>0</v>
      </c>
    </row>
    <row r="71" spans="1:19" x14ac:dyDescent="0.2">
      <c r="A71" s="35" t="s">
        <v>240</v>
      </c>
      <c r="B71" s="46">
        <v>0</v>
      </c>
      <c r="C71" s="46">
        <v>0</v>
      </c>
      <c r="D71" s="46">
        <v>35</v>
      </c>
      <c r="E71" s="46">
        <v>10</v>
      </c>
      <c r="F71" s="46">
        <v>0</v>
      </c>
      <c r="G71" s="46">
        <v>0</v>
      </c>
      <c r="H71" s="46">
        <v>0</v>
      </c>
      <c r="I71" s="46">
        <v>0</v>
      </c>
      <c r="J71" s="46">
        <v>25</v>
      </c>
      <c r="K71" s="46">
        <v>0</v>
      </c>
      <c r="L71" s="46">
        <v>5</v>
      </c>
      <c r="M71" s="46">
        <v>0</v>
      </c>
      <c r="N71" s="46">
        <v>0</v>
      </c>
      <c r="O71" s="46">
        <v>0</v>
      </c>
      <c r="P71" s="46">
        <v>15</v>
      </c>
      <c r="Q71" s="46">
        <v>0</v>
      </c>
      <c r="R71" s="46">
        <v>0</v>
      </c>
      <c r="S71" s="46">
        <v>0</v>
      </c>
    </row>
    <row r="72" spans="1:19" x14ac:dyDescent="0.2">
      <c r="A72" s="35" t="s">
        <v>241</v>
      </c>
      <c r="B72" s="46">
        <v>10</v>
      </c>
      <c r="C72" s="46">
        <v>0</v>
      </c>
      <c r="D72" s="46">
        <v>0</v>
      </c>
      <c r="E72" s="46">
        <v>10</v>
      </c>
      <c r="F72" s="46">
        <v>0</v>
      </c>
      <c r="G72" s="46">
        <v>40</v>
      </c>
      <c r="H72" s="46">
        <v>0</v>
      </c>
      <c r="I72" s="46">
        <v>20</v>
      </c>
      <c r="J72" s="46">
        <v>5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</row>
    <row r="73" spans="1:19" x14ac:dyDescent="0.2">
      <c r="A73" s="35" t="s">
        <v>242</v>
      </c>
      <c r="B73" s="46">
        <v>5</v>
      </c>
      <c r="C73" s="46">
        <v>0</v>
      </c>
      <c r="D73" s="46">
        <v>0</v>
      </c>
      <c r="E73" s="46">
        <v>20</v>
      </c>
      <c r="F73" s="46">
        <v>10</v>
      </c>
      <c r="G73" s="46">
        <v>15</v>
      </c>
      <c r="H73" s="46">
        <v>0</v>
      </c>
      <c r="I73" s="46">
        <v>0</v>
      </c>
      <c r="J73" s="46">
        <v>35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</row>
    <row r="74" spans="1:19" x14ac:dyDescent="0.2">
      <c r="A74" s="35" t="s">
        <v>243</v>
      </c>
      <c r="B74" s="46">
        <v>0</v>
      </c>
      <c r="C74" s="46">
        <v>0</v>
      </c>
      <c r="D74" s="46">
        <v>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15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45</v>
      </c>
    </row>
    <row r="75" spans="1:19" x14ac:dyDescent="0.2">
      <c r="A75" s="35" t="s">
        <v>244</v>
      </c>
      <c r="B75" s="46">
        <v>0</v>
      </c>
      <c r="C75" s="46">
        <v>0</v>
      </c>
      <c r="D75" s="46">
        <v>0</v>
      </c>
      <c r="E75" s="46">
        <v>5</v>
      </c>
      <c r="F75" s="46">
        <v>10</v>
      </c>
      <c r="G75" s="46">
        <v>0</v>
      </c>
      <c r="H75" s="46">
        <v>0</v>
      </c>
      <c r="I75" s="46">
        <v>5</v>
      </c>
      <c r="J75" s="46">
        <v>125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v>40</v>
      </c>
      <c r="Q75" s="46">
        <v>0</v>
      </c>
      <c r="R75" s="46">
        <v>0</v>
      </c>
      <c r="S75" s="46">
        <v>20</v>
      </c>
    </row>
    <row r="76" spans="1:19" x14ac:dyDescent="0.2">
      <c r="A76" s="35" t="s">
        <v>245</v>
      </c>
      <c r="B76" s="46">
        <v>5</v>
      </c>
      <c r="C76" s="46">
        <v>0</v>
      </c>
      <c r="D76" s="46">
        <v>0</v>
      </c>
      <c r="E76" s="46">
        <v>10</v>
      </c>
      <c r="F76" s="46">
        <v>10</v>
      </c>
      <c r="G76" s="46">
        <v>0</v>
      </c>
      <c r="H76" s="46">
        <v>0</v>
      </c>
      <c r="I76" s="46">
        <v>35</v>
      </c>
      <c r="J76" s="46">
        <v>0</v>
      </c>
      <c r="K76" s="46">
        <v>0</v>
      </c>
      <c r="L76" s="46">
        <v>10</v>
      </c>
      <c r="M76" s="46">
        <v>0</v>
      </c>
      <c r="N76" s="46">
        <v>0</v>
      </c>
      <c r="O76" s="46">
        <v>0</v>
      </c>
      <c r="P76" s="46">
        <v>30</v>
      </c>
      <c r="Q76" s="46">
        <v>0</v>
      </c>
      <c r="R76" s="46">
        <v>0</v>
      </c>
      <c r="S76" s="46">
        <v>25</v>
      </c>
    </row>
    <row r="77" spans="1:19" x14ac:dyDescent="0.2">
      <c r="A77" s="35" t="s">
        <v>246</v>
      </c>
      <c r="B77" s="46">
        <v>0</v>
      </c>
      <c r="C77" s="46">
        <v>0</v>
      </c>
      <c r="D77" s="46">
        <v>5</v>
      </c>
      <c r="E77" s="46">
        <v>15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5</v>
      </c>
      <c r="M77" s="46">
        <v>0</v>
      </c>
      <c r="N77" s="46">
        <v>0</v>
      </c>
      <c r="O77" s="46">
        <v>0</v>
      </c>
      <c r="P77" s="46">
        <v>35</v>
      </c>
      <c r="Q77" s="46">
        <v>0</v>
      </c>
      <c r="R77" s="46">
        <v>0</v>
      </c>
      <c r="S77" s="46">
        <v>20</v>
      </c>
    </row>
    <row r="78" spans="1:19" x14ac:dyDescent="0.2">
      <c r="A78" s="35" t="s">
        <v>247</v>
      </c>
      <c r="B78" s="46">
        <v>0</v>
      </c>
      <c r="C78" s="46">
        <v>0</v>
      </c>
      <c r="D78" s="46">
        <v>0</v>
      </c>
      <c r="E78" s="46">
        <v>0</v>
      </c>
      <c r="F78" s="46">
        <v>20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5</v>
      </c>
      <c r="M78" s="46">
        <v>0</v>
      </c>
      <c r="N78" s="46">
        <v>0</v>
      </c>
      <c r="O78" s="46">
        <v>0</v>
      </c>
      <c r="P78" s="46">
        <v>10</v>
      </c>
      <c r="Q78" s="46">
        <v>0</v>
      </c>
      <c r="R78" s="46">
        <v>0</v>
      </c>
      <c r="S78" s="46">
        <v>25</v>
      </c>
    </row>
    <row r="79" spans="1:19" x14ac:dyDescent="0.2">
      <c r="A79" s="35" t="s">
        <v>248</v>
      </c>
      <c r="B79" s="46">
        <v>0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5</v>
      </c>
      <c r="J79" s="46">
        <v>0</v>
      </c>
      <c r="K79" s="46">
        <v>5</v>
      </c>
      <c r="L79" s="46">
        <v>0</v>
      </c>
      <c r="M79" s="46">
        <v>0</v>
      </c>
      <c r="N79" s="46">
        <v>0</v>
      </c>
      <c r="O79" s="46">
        <v>10</v>
      </c>
      <c r="P79" s="46">
        <v>0</v>
      </c>
      <c r="Q79" s="46">
        <v>0</v>
      </c>
      <c r="R79" s="46">
        <v>0</v>
      </c>
      <c r="S79" s="46">
        <v>0</v>
      </c>
    </row>
    <row r="80" spans="1:19" x14ac:dyDescent="0.2">
      <c r="A80" s="35" t="s">
        <v>271</v>
      </c>
      <c r="B80" s="46">
        <v>0</v>
      </c>
      <c r="C80" s="46">
        <v>0</v>
      </c>
      <c r="D80" s="46">
        <v>0</v>
      </c>
      <c r="E80" s="46">
        <v>115</v>
      </c>
      <c r="F80" s="46">
        <v>890</v>
      </c>
      <c r="G80" s="46">
        <v>865</v>
      </c>
      <c r="H80" s="46">
        <v>0</v>
      </c>
      <c r="I80" s="46">
        <v>25</v>
      </c>
      <c r="J80" s="46">
        <v>0</v>
      </c>
      <c r="K80" s="46">
        <v>0</v>
      </c>
      <c r="L80" s="46">
        <v>40</v>
      </c>
      <c r="M80" s="46">
        <v>0</v>
      </c>
      <c r="N80" s="46">
        <v>0</v>
      </c>
      <c r="O80" s="46">
        <v>0</v>
      </c>
      <c r="P80" s="46">
        <v>5</v>
      </c>
      <c r="Q80" s="46">
        <v>20</v>
      </c>
      <c r="R80" s="46">
        <v>0</v>
      </c>
      <c r="S80" s="46">
        <v>120</v>
      </c>
    </row>
    <row r="81" spans="1:19" x14ac:dyDescent="0.2">
      <c r="A81" s="35" t="s">
        <v>272</v>
      </c>
      <c r="B81" s="46">
        <v>0</v>
      </c>
      <c r="C81" s="46">
        <v>0</v>
      </c>
      <c r="D81" s="46">
        <v>0</v>
      </c>
      <c r="E81" s="46">
        <v>20</v>
      </c>
      <c r="F81" s="46">
        <v>15</v>
      </c>
      <c r="G81" s="46">
        <v>30</v>
      </c>
      <c r="H81" s="46">
        <v>0</v>
      </c>
      <c r="I81" s="46">
        <v>0</v>
      </c>
      <c r="J81" s="46">
        <v>0</v>
      </c>
      <c r="K81" s="46">
        <v>0</v>
      </c>
      <c r="L81" s="46">
        <v>30</v>
      </c>
      <c r="M81" s="46">
        <v>50</v>
      </c>
      <c r="N81" s="46">
        <v>0</v>
      </c>
      <c r="O81" s="46">
        <v>0</v>
      </c>
      <c r="P81" s="46">
        <v>0</v>
      </c>
      <c r="Q81" s="46">
        <v>0</v>
      </c>
      <c r="R81" s="46">
        <v>0</v>
      </c>
      <c r="S81" s="46">
        <v>0</v>
      </c>
    </row>
    <row r="82" spans="1:19" x14ac:dyDescent="0.2">
      <c r="A82" s="35" t="s">
        <v>273</v>
      </c>
      <c r="B82" s="46">
        <v>0</v>
      </c>
      <c r="C82" s="46">
        <v>0</v>
      </c>
      <c r="D82" s="46">
        <v>20</v>
      </c>
      <c r="E82" s="46">
        <v>5</v>
      </c>
      <c r="F82" s="46">
        <v>10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45</v>
      </c>
      <c r="N82" s="46">
        <v>0</v>
      </c>
      <c r="O82" s="46">
        <v>0</v>
      </c>
      <c r="P82" s="46">
        <v>25</v>
      </c>
      <c r="Q82" s="46">
        <v>0</v>
      </c>
      <c r="R82" s="46">
        <v>0</v>
      </c>
      <c r="S82" s="46">
        <v>0</v>
      </c>
    </row>
    <row r="83" spans="1:19" x14ac:dyDescent="0.2">
      <c r="A83" s="35" t="s">
        <v>274</v>
      </c>
      <c r="B83" s="46">
        <v>0</v>
      </c>
      <c r="C83" s="46">
        <v>0</v>
      </c>
      <c r="D83" s="46">
        <v>25</v>
      </c>
      <c r="E83" s="46">
        <v>10</v>
      </c>
      <c r="F83" s="46">
        <v>0</v>
      </c>
      <c r="G83" s="46">
        <v>25</v>
      </c>
      <c r="H83" s="46">
        <v>0</v>
      </c>
      <c r="I83" s="46">
        <v>35</v>
      </c>
      <c r="J83" s="46">
        <v>45</v>
      </c>
      <c r="K83" s="46">
        <v>10</v>
      </c>
      <c r="L83" s="46">
        <v>25</v>
      </c>
      <c r="M83" s="46">
        <v>75</v>
      </c>
      <c r="N83" s="46">
        <v>0</v>
      </c>
      <c r="O83" s="46">
        <v>0</v>
      </c>
      <c r="P83" s="46">
        <v>15</v>
      </c>
      <c r="Q83" s="46">
        <v>0</v>
      </c>
      <c r="R83" s="46">
        <v>0</v>
      </c>
      <c r="S83" s="46">
        <v>20</v>
      </c>
    </row>
    <row r="84" spans="1:19" x14ac:dyDescent="0.2">
      <c r="A84" s="35" t="s">
        <v>275</v>
      </c>
      <c r="B84" s="46">
        <v>0</v>
      </c>
      <c r="C84" s="46">
        <v>0</v>
      </c>
      <c r="D84" s="46">
        <v>10</v>
      </c>
      <c r="E84" s="46">
        <v>10</v>
      </c>
      <c r="F84" s="46">
        <v>5</v>
      </c>
      <c r="G84" s="46">
        <v>10</v>
      </c>
      <c r="H84" s="46">
        <v>10</v>
      </c>
      <c r="I84" s="46">
        <v>105</v>
      </c>
      <c r="J84" s="46">
        <v>385</v>
      </c>
      <c r="K84" s="46">
        <v>0</v>
      </c>
      <c r="L84" s="46">
        <v>0</v>
      </c>
      <c r="M84" s="46">
        <v>15</v>
      </c>
      <c r="N84" s="46">
        <v>0</v>
      </c>
      <c r="O84" s="46">
        <v>0</v>
      </c>
      <c r="P84" s="46">
        <v>35</v>
      </c>
      <c r="Q84" s="46">
        <v>0</v>
      </c>
      <c r="R84" s="46">
        <v>0</v>
      </c>
      <c r="S84" s="46">
        <v>0</v>
      </c>
    </row>
    <row r="85" spans="1:19" x14ac:dyDescent="0.2">
      <c r="A85" s="35" t="s">
        <v>276</v>
      </c>
      <c r="B85" s="46">
        <v>0</v>
      </c>
      <c r="C85" s="46">
        <v>0</v>
      </c>
      <c r="D85" s="46">
        <v>20</v>
      </c>
      <c r="E85" s="46">
        <v>5</v>
      </c>
      <c r="F85" s="46">
        <v>5</v>
      </c>
      <c r="G85" s="46">
        <v>50</v>
      </c>
      <c r="H85" s="46">
        <v>0</v>
      </c>
      <c r="I85" s="46">
        <v>0</v>
      </c>
      <c r="J85" s="46">
        <v>90</v>
      </c>
      <c r="K85" s="46">
        <v>0</v>
      </c>
      <c r="L85" s="46">
        <v>0</v>
      </c>
      <c r="M85" s="46">
        <v>15</v>
      </c>
      <c r="N85" s="46">
        <v>0</v>
      </c>
      <c r="O85" s="46">
        <v>0</v>
      </c>
      <c r="P85" s="46">
        <v>40</v>
      </c>
      <c r="Q85" s="46">
        <v>0</v>
      </c>
      <c r="R85" s="46">
        <v>0</v>
      </c>
      <c r="S85" s="46">
        <v>10</v>
      </c>
    </row>
    <row r="86" spans="1:19" x14ac:dyDescent="0.2">
      <c r="A86" s="35" t="s">
        <v>137</v>
      </c>
      <c r="B86" s="46">
        <v>0</v>
      </c>
      <c r="C86" s="46">
        <v>0</v>
      </c>
      <c r="D86" s="46">
        <v>5</v>
      </c>
      <c r="E86" s="46">
        <v>15</v>
      </c>
      <c r="F86" s="46">
        <v>25</v>
      </c>
      <c r="G86" s="46">
        <v>65</v>
      </c>
      <c r="H86" s="46">
        <v>0</v>
      </c>
      <c r="I86" s="46">
        <v>20</v>
      </c>
      <c r="J86" s="46">
        <v>90</v>
      </c>
      <c r="K86" s="46">
        <v>0</v>
      </c>
      <c r="L86" s="46">
        <v>0</v>
      </c>
      <c r="M86" s="46">
        <v>20</v>
      </c>
      <c r="N86" s="46">
        <v>0</v>
      </c>
      <c r="O86" s="46">
        <v>0</v>
      </c>
      <c r="P86" s="46">
        <v>20</v>
      </c>
      <c r="Q86" s="46">
        <v>0</v>
      </c>
      <c r="R86" s="46">
        <v>0</v>
      </c>
      <c r="S86" s="46">
        <v>0</v>
      </c>
    </row>
    <row r="87" spans="1:19" x14ac:dyDescent="0.2">
      <c r="A87" s="35" t="s">
        <v>277</v>
      </c>
      <c r="B87" s="46">
        <v>0</v>
      </c>
      <c r="C87" s="46">
        <v>0</v>
      </c>
      <c r="D87" s="46">
        <v>20</v>
      </c>
      <c r="E87" s="46">
        <v>35</v>
      </c>
      <c r="F87" s="46">
        <v>245</v>
      </c>
      <c r="G87" s="46">
        <v>230</v>
      </c>
      <c r="H87" s="46">
        <v>0</v>
      </c>
      <c r="I87" s="46">
        <v>5</v>
      </c>
      <c r="J87" s="46">
        <v>60</v>
      </c>
      <c r="K87" s="46">
        <v>0</v>
      </c>
      <c r="L87" s="46">
        <v>20</v>
      </c>
      <c r="M87" s="46">
        <v>0</v>
      </c>
      <c r="N87" s="46">
        <v>0</v>
      </c>
      <c r="O87" s="46">
        <v>0</v>
      </c>
      <c r="P87" s="46">
        <v>0</v>
      </c>
      <c r="Q87" s="46">
        <v>0</v>
      </c>
      <c r="R87" s="46">
        <v>0</v>
      </c>
      <c r="S87" s="46">
        <v>0</v>
      </c>
    </row>
    <row r="88" spans="1:19" x14ac:dyDescent="0.2">
      <c r="A88" s="35" t="s">
        <v>250</v>
      </c>
      <c r="B88" s="46">
        <v>55</v>
      </c>
      <c r="C88" s="46">
        <v>175</v>
      </c>
      <c r="D88" s="46">
        <v>280</v>
      </c>
      <c r="E88" s="46">
        <v>1340</v>
      </c>
      <c r="F88" s="46">
        <v>2390</v>
      </c>
      <c r="G88" s="46">
        <v>2495</v>
      </c>
      <c r="H88" s="46">
        <v>1585</v>
      </c>
      <c r="I88" s="46">
        <v>960</v>
      </c>
      <c r="J88" s="46">
        <v>1980</v>
      </c>
      <c r="K88" s="46">
        <v>830</v>
      </c>
      <c r="L88" s="46">
        <v>700</v>
      </c>
      <c r="M88" s="46">
        <v>735</v>
      </c>
      <c r="N88" s="46">
        <v>400</v>
      </c>
      <c r="O88" s="46">
        <v>295</v>
      </c>
      <c r="P88" s="46">
        <v>760</v>
      </c>
      <c r="Q88" s="46">
        <v>3025</v>
      </c>
      <c r="R88" s="46">
        <v>1230</v>
      </c>
      <c r="S88" s="46">
        <v>3970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9289-3DA8-9B4A-BBAE-4F7309DCDB7F}">
  <dimension ref="A1:V31"/>
  <sheetViews>
    <sheetView workbookViewId="0">
      <selection activeCell="R68" sqref="R68"/>
    </sheetView>
  </sheetViews>
  <sheetFormatPr baseColWidth="10" defaultRowHeight="16" x14ac:dyDescent="0.2"/>
  <sheetData>
    <row r="1" spans="1:22" ht="18" x14ac:dyDescent="0.2">
      <c r="A1" s="57" t="s">
        <v>279</v>
      </c>
    </row>
    <row r="2" spans="1:22" ht="18" x14ac:dyDescent="0.2">
      <c r="A2" s="57" t="s">
        <v>280</v>
      </c>
    </row>
    <row r="3" spans="1:22" ht="102" x14ac:dyDescent="0.2">
      <c r="A3" s="57" t="s">
        <v>140</v>
      </c>
      <c r="B3" s="60" t="s">
        <v>281</v>
      </c>
      <c r="C3" s="60" t="s">
        <v>282</v>
      </c>
      <c r="D3" s="60" t="s">
        <v>283</v>
      </c>
      <c r="E3" s="60" t="s">
        <v>284</v>
      </c>
      <c r="F3" s="60" t="s">
        <v>285</v>
      </c>
      <c r="G3" s="60" t="s">
        <v>286</v>
      </c>
      <c r="H3" s="60" t="s">
        <v>287</v>
      </c>
      <c r="I3" s="60" t="s">
        <v>288</v>
      </c>
      <c r="J3" s="60" t="s">
        <v>289</v>
      </c>
      <c r="K3" s="60" t="s">
        <v>290</v>
      </c>
      <c r="L3" s="60" t="s">
        <v>291</v>
      </c>
      <c r="M3" s="60" t="s">
        <v>292</v>
      </c>
      <c r="N3" s="60" t="s">
        <v>293</v>
      </c>
      <c r="O3" s="60" t="s">
        <v>294</v>
      </c>
      <c r="P3" s="60" t="s">
        <v>295</v>
      </c>
      <c r="Q3" s="60" t="s">
        <v>296</v>
      </c>
      <c r="R3" s="60" t="s">
        <v>297</v>
      </c>
      <c r="S3" s="60" t="s">
        <v>298</v>
      </c>
      <c r="T3" s="60" t="s">
        <v>299</v>
      </c>
      <c r="U3" s="60" t="s">
        <v>300</v>
      </c>
      <c r="V3" s="60" t="s">
        <v>301</v>
      </c>
    </row>
    <row r="4" spans="1:22" x14ac:dyDescent="0.2">
      <c r="A4" s="35" t="s">
        <v>302</v>
      </c>
      <c r="B4" s="46">
        <v>78.3</v>
      </c>
      <c r="C4" s="46">
        <v>50.6</v>
      </c>
      <c r="D4" s="46">
        <v>47.4</v>
      </c>
      <c r="E4" s="46">
        <v>78.3</v>
      </c>
      <c r="F4" s="46">
        <v>11.9</v>
      </c>
      <c r="G4" s="46">
        <v>86.6</v>
      </c>
      <c r="H4" s="46">
        <v>1.9</v>
      </c>
      <c r="I4" s="46">
        <v>6.1</v>
      </c>
      <c r="J4" s="46">
        <v>86</v>
      </c>
      <c r="K4" s="46">
        <v>7.58</v>
      </c>
      <c r="L4" s="46">
        <v>35.5</v>
      </c>
      <c r="M4" s="46">
        <v>9.5500000000000007</v>
      </c>
      <c r="N4" s="46">
        <v>9.69</v>
      </c>
      <c r="O4" s="46">
        <v>89.7</v>
      </c>
      <c r="P4" s="46">
        <v>9.7899999999999991</v>
      </c>
      <c r="Q4" s="46">
        <v>50</v>
      </c>
      <c r="R4" s="46">
        <v>1.3</v>
      </c>
      <c r="S4" s="46">
        <v>36.1</v>
      </c>
      <c r="T4" s="46">
        <v>93</v>
      </c>
      <c r="U4" s="46">
        <v>100</v>
      </c>
      <c r="V4" s="46">
        <v>72.3</v>
      </c>
    </row>
    <row r="5" spans="1:22" x14ac:dyDescent="0.2">
      <c r="A5" s="35" t="s">
        <v>303</v>
      </c>
      <c r="B5" s="46">
        <v>69.599999999999994</v>
      </c>
      <c r="C5" s="46">
        <v>68.900000000000006</v>
      </c>
      <c r="D5" s="46">
        <v>27.5</v>
      </c>
      <c r="E5" s="46">
        <v>77.400000000000006</v>
      </c>
      <c r="F5" s="46">
        <v>11.3</v>
      </c>
      <c r="G5" s="46">
        <v>82.5</v>
      </c>
      <c r="H5" s="46">
        <v>5.6</v>
      </c>
      <c r="I5" s="46">
        <v>10.1</v>
      </c>
      <c r="J5" s="46">
        <v>79</v>
      </c>
      <c r="K5" s="46">
        <v>10.199999999999999</v>
      </c>
      <c r="L5" s="46">
        <v>19.7</v>
      </c>
      <c r="M5" s="46">
        <v>18.3</v>
      </c>
      <c r="N5" s="46">
        <v>7.74</v>
      </c>
      <c r="O5" s="46">
        <v>85.4</v>
      </c>
      <c r="P5" s="46">
        <v>14.2</v>
      </c>
      <c r="Q5" s="46">
        <v>32.799999999999997</v>
      </c>
      <c r="R5" s="46">
        <v>0</v>
      </c>
      <c r="S5" s="46">
        <v>58.4</v>
      </c>
      <c r="T5" s="46">
        <v>87.8</v>
      </c>
      <c r="U5" s="46">
        <v>0</v>
      </c>
      <c r="V5" s="46">
        <v>61.6</v>
      </c>
    </row>
    <row r="6" spans="1:22" x14ac:dyDescent="0.2">
      <c r="A6" s="35" t="s">
        <v>304</v>
      </c>
      <c r="B6" s="46">
        <v>62.2</v>
      </c>
      <c r="C6" s="46">
        <v>55.7</v>
      </c>
      <c r="D6" s="46">
        <v>40.9</v>
      </c>
      <c r="E6" s="46">
        <v>88.8</v>
      </c>
      <c r="F6" s="46">
        <v>11.9</v>
      </c>
      <c r="G6" s="46">
        <v>80.7</v>
      </c>
      <c r="H6" s="46">
        <v>7.94</v>
      </c>
      <c r="I6" s="46">
        <v>7.24</v>
      </c>
      <c r="J6" s="46">
        <v>78.400000000000006</v>
      </c>
      <c r="K6" s="46">
        <v>13.7</v>
      </c>
      <c r="L6" s="46">
        <v>31.2</v>
      </c>
      <c r="M6" s="46">
        <v>21.3</v>
      </c>
      <c r="N6" s="46">
        <v>3.19</v>
      </c>
      <c r="O6" s="46">
        <v>79.2</v>
      </c>
      <c r="P6" s="46">
        <v>20.8</v>
      </c>
      <c r="Q6" s="46">
        <v>61.7</v>
      </c>
      <c r="R6" s="46">
        <v>4.79</v>
      </c>
      <c r="S6" s="46">
        <v>27</v>
      </c>
      <c r="T6" s="46">
        <v>93.6</v>
      </c>
      <c r="U6" s="46">
        <v>100</v>
      </c>
      <c r="V6" s="46">
        <v>88.7</v>
      </c>
    </row>
    <row r="7" spans="1:22" x14ac:dyDescent="0.2">
      <c r="A7" s="35" t="s">
        <v>305</v>
      </c>
      <c r="B7" s="46">
        <v>35.700000000000003</v>
      </c>
      <c r="C7" s="46">
        <v>43.4</v>
      </c>
      <c r="D7" s="46">
        <v>52.5</v>
      </c>
      <c r="E7" s="46">
        <v>92.5</v>
      </c>
      <c r="F7" s="46">
        <v>16</v>
      </c>
      <c r="G7" s="46">
        <v>75.900000000000006</v>
      </c>
      <c r="H7" s="46">
        <v>7.73</v>
      </c>
      <c r="I7" s="46">
        <v>8.76</v>
      </c>
      <c r="J7" s="46">
        <v>77.5</v>
      </c>
      <c r="K7" s="46">
        <v>12.9</v>
      </c>
      <c r="L7" s="46">
        <v>37</v>
      </c>
      <c r="M7" s="46">
        <v>42.1</v>
      </c>
      <c r="N7" s="46">
        <v>1.1299999999999999</v>
      </c>
      <c r="O7" s="46">
        <v>84.8</v>
      </c>
      <c r="P7" s="46">
        <v>15.2</v>
      </c>
      <c r="Q7" s="46">
        <v>77.400000000000006</v>
      </c>
      <c r="R7" s="46">
        <v>7.66</v>
      </c>
      <c r="S7" s="46">
        <v>14.7</v>
      </c>
      <c r="T7" s="46">
        <v>96.5</v>
      </c>
      <c r="U7" s="46">
        <v>100</v>
      </c>
      <c r="V7" s="46">
        <v>74.599999999999994</v>
      </c>
    </row>
    <row r="8" spans="1:22" x14ac:dyDescent="0.2">
      <c r="A8" s="35" t="s">
        <v>306</v>
      </c>
      <c r="B8" s="46">
        <v>30.6</v>
      </c>
      <c r="C8" s="46">
        <v>34.200000000000003</v>
      </c>
      <c r="D8" s="46">
        <v>59.6</v>
      </c>
      <c r="E8" s="46">
        <v>95.3</v>
      </c>
      <c r="F8" s="46">
        <v>12.9</v>
      </c>
      <c r="G8" s="46">
        <v>83.2</v>
      </c>
      <c r="H8" s="46">
        <v>3.15</v>
      </c>
      <c r="I8" s="46">
        <v>8.91</v>
      </c>
      <c r="J8" s="46">
        <v>78.400000000000006</v>
      </c>
      <c r="K8" s="46">
        <v>12.3</v>
      </c>
      <c r="L8" s="46">
        <v>46.3</v>
      </c>
      <c r="M8" s="46">
        <v>56.5</v>
      </c>
      <c r="N8" s="46">
        <v>1.53</v>
      </c>
      <c r="O8" s="46">
        <v>90.7</v>
      </c>
      <c r="P8" s="46">
        <v>9.7899999999999991</v>
      </c>
      <c r="Q8" s="46">
        <v>74.900000000000006</v>
      </c>
      <c r="R8" s="46">
        <v>18.600000000000001</v>
      </c>
      <c r="S8" s="46">
        <v>6.17</v>
      </c>
      <c r="T8" s="46">
        <v>83</v>
      </c>
      <c r="U8" s="46">
        <v>95.4</v>
      </c>
      <c r="V8" s="46">
        <v>62.4</v>
      </c>
    </row>
    <row r="9" spans="1:22" x14ac:dyDescent="0.2">
      <c r="A9" s="35" t="s">
        <v>307</v>
      </c>
      <c r="B9" s="46">
        <v>40</v>
      </c>
      <c r="C9" s="46">
        <v>59.2</v>
      </c>
      <c r="D9" s="46">
        <v>35</v>
      </c>
      <c r="E9" s="46">
        <v>93</v>
      </c>
      <c r="F9" s="46">
        <v>12.1</v>
      </c>
      <c r="G9" s="46">
        <v>81.400000000000006</v>
      </c>
      <c r="H9" s="46">
        <v>5.44</v>
      </c>
      <c r="I9" s="46">
        <v>8.42</v>
      </c>
      <c r="J9" s="46">
        <v>74.599999999999994</v>
      </c>
      <c r="K9" s="46">
        <v>16.8</v>
      </c>
      <c r="L9" s="46">
        <v>23.3</v>
      </c>
      <c r="M9" s="46">
        <v>35.299999999999997</v>
      </c>
      <c r="N9" s="46">
        <v>2.13</v>
      </c>
      <c r="O9" s="46">
        <v>90</v>
      </c>
      <c r="P9" s="46">
        <v>10.4</v>
      </c>
      <c r="Q9" s="46">
        <v>74.5</v>
      </c>
      <c r="R9" s="46">
        <v>15.4</v>
      </c>
      <c r="S9" s="46">
        <v>8.98</v>
      </c>
      <c r="T9" s="46">
        <v>95.1</v>
      </c>
      <c r="U9" s="46">
        <v>96.6</v>
      </c>
      <c r="V9" s="46">
        <v>77.900000000000006</v>
      </c>
    </row>
    <row r="10" spans="1:22" ht="18" x14ac:dyDescent="0.2">
      <c r="A10" s="58" t="s">
        <v>162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x14ac:dyDescent="0.2">
      <c r="A11" s="35" t="s">
        <v>308</v>
      </c>
      <c r="B11" s="46">
        <v>12.2</v>
      </c>
      <c r="C11" s="46">
        <v>41.8</v>
      </c>
      <c r="D11" s="46">
        <v>48.6</v>
      </c>
      <c r="E11" s="46">
        <v>97.6</v>
      </c>
      <c r="F11" s="46">
        <v>18</v>
      </c>
      <c r="G11" s="46">
        <v>76.599999999999994</v>
      </c>
      <c r="H11" s="46">
        <v>5.05</v>
      </c>
      <c r="I11" s="46">
        <v>10.3</v>
      </c>
      <c r="J11" s="46">
        <v>72.7</v>
      </c>
      <c r="K11" s="46">
        <v>16.2</v>
      </c>
      <c r="L11" s="46">
        <v>35.4</v>
      </c>
      <c r="M11" s="46">
        <v>76.7</v>
      </c>
      <c r="N11" s="46">
        <v>0.47</v>
      </c>
      <c r="O11" s="46">
        <v>83.9</v>
      </c>
      <c r="P11" s="46">
        <v>16.100000000000001</v>
      </c>
      <c r="Q11" s="46">
        <v>23.1</v>
      </c>
      <c r="R11" s="46">
        <v>6.41</v>
      </c>
      <c r="S11" s="46">
        <v>60.9</v>
      </c>
      <c r="T11" s="46">
        <v>100</v>
      </c>
      <c r="U11" s="46">
        <v>100</v>
      </c>
      <c r="V11" s="46">
        <v>85.3</v>
      </c>
    </row>
    <row r="12" spans="1:22" x14ac:dyDescent="0.2">
      <c r="A12" s="35" t="s">
        <v>309</v>
      </c>
      <c r="B12" s="46">
        <v>68.3</v>
      </c>
      <c r="C12" s="46">
        <v>61</v>
      </c>
      <c r="D12" s="46">
        <v>34.799999999999997</v>
      </c>
      <c r="E12" s="46">
        <v>88.1</v>
      </c>
      <c r="F12" s="46">
        <v>8.4700000000000006</v>
      </c>
      <c r="G12" s="46">
        <v>91.4</v>
      </c>
      <c r="H12" s="46">
        <v>0.56999999999999995</v>
      </c>
      <c r="I12" s="46">
        <v>12.1</v>
      </c>
      <c r="J12" s="46">
        <v>82.7</v>
      </c>
      <c r="K12" s="46">
        <v>5.75</v>
      </c>
      <c r="L12" s="46">
        <v>26.4</v>
      </c>
      <c r="M12" s="46">
        <v>16.3</v>
      </c>
      <c r="N12" s="46">
        <v>4.18</v>
      </c>
      <c r="O12" s="46">
        <v>93.5</v>
      </c>
      <c r="P12" s="46">
        <v>6.53</v>
      </c>
      <c r="Q12" s="46">
        <v>50.2</v>
      </c>
      <c r="R12" s="46">
        <v>5.26</v>
      </c>
      <c r="S12" s="46">
        <v>41.7</v>
      </c>
      <c r="T12" s="46">
        <v>65.3</v>
      </c>
      <c r="U12" s="46">
        <v>92.3</v>
      </c>
      <c r="V12" s="46">
        <v>65</v>
      </c>
    </row>
    <row r="13" spans="1:22" x14ac:dyDescent="0.2">
      <c r="A13" s="35" t="s">
        <v>310</v>
      </c>
      <c r="B13" s="46">
        <v>49.9</v>
      </c>
      <c r="C13" s="46">
        <v>64.400000000000006</v>
      </c>
      <c r="D13" s="46">
        <v>30.3</v>
      </c>
      <c r="E13" s="46">
        <v>95</v>
      </c>
      <c r="F13" s="46">
        <v>18.600000000000001</v>
      </c>
      <c r="G13" s="46">
        <v>75</v>
      </c>
      <c r="H13" s="46">
        <v>6.34</v>
      </c>
      <c r="I13" s="46">
        <v>14.7</v>
      </c>
      <c r="J13" s="46">
        <v>72.099999999999994</v>
      </c>
      <c r="K13" s="46">
        <v>12.3</v>
      </c>
      <c r="L13" s="46">
        <v>23.2</v>
      </c>
      <c r="M13" s="46">
        <v>31.2</v>
      </c>
      <c r="N13" s="46">
        <v>1.33</v>
      </c>
      <c r="O13" s="46">
        <v>77.900000000000006</v>
      </c>
      <c r="P13" s="46">
        <v>23.2</v>
      </c>
      <c r="Q13" s="46">
        <v>62.5</v>
      </c>
      <c r="R13" s="46">
        <v>14</v>
      </c>
      <c r="S13" s="46">
        <v>18.5</v>
      </c>
      <c r="T13" s="46">
        <v>91.4</v>
      </c>
      <c r="U13" s="46">
        <v>97.5</v>
      </c>
      <c r="V13" s="46">
        <v>68.900000000000006</v>
      </c>
    </row>
    <row r="14" spans="1:22" x14ac:dyDescent="0.2">
      <c r="A14" s="35" t="s">
        <v>311</v>
      </c>
      <c r="B14" s="46">
        <v>58.8</v>
      </c>
      <c r="C14" s="46">
        <v>62.3</v>
      </c>
      <c r="D14" s="46">
        <v>29.2</v>
      </c>
      <c r="E14" s="46">
        <v>90.4</v>
      </c>
      <c r="F14" s="46">
        <v>12.6</v>
      </c>
      <c r="G14" s="46">
        <v>83</v>
      </c>
      <c r="H14" s="46">
        <v>4.37</v>
      </c>
      <c r="I14" s="46">
        <v>10</v>
      </c>
      <c r="J14" s="46">
        <v>81.599999999999994</v>
      </c>
      <c r="K14" s="46">
        <v>8.16</v>
      </c>
      <c r="L14" s="46">
        <v>19.7</v>
      </c>
      <c r="M14" s="46">
        <v>20.9</v>
      </c>
      <c r="N14" s="46">
        <v>2.21</v>
      </c>
      <c r="O14" s="46">
        <v>82.8</v>
      </c>
      <c r="P14" s="46">
        <v>17.2</v>
      </c>
      <c r="Q14" s="46">
        <v>52.9</v>
      </c>
      <c r="R14" s="46">
        <v>1.77</v>
      </c>
      <c r="S14" s="46">
        <v>39.5</v>
      </c>
      <c r="T14" s="46">
        <v>99</v>
      </c>
      <c r="U14" s="46">
        <v>100</v>
      </c>
      <c r="V14" s="46">
        <v>86.3</v>
      </c>
    </row>
    <row r="15" spans="1:22" x14ac:dyDescent="0.2">
      <c r="A15" s="35" t="s">
        <v>312</v>
      </c>
      <c r="B15" s="46">
        <v>61.8</v>
      </c>
      <c r="C15" s="46">
        <v>54.2</v>
      </c>
      <c r="D15" s="46">
        <v>40.5</v>
      </c>
      <c r="E15" s="46">
        <v>80.599999999999994</v>
      </c>
      <c r="F15" s="46">
        <v>12</v>
      </c>
      <c r="G15" s="46">
        <v>85.4</v>
      </c>
      <c r="H15" s="46">
        <v>2.85</v>
      </c>
      <c r="I15" s="46">
        <v>10.8</v>
      </c>
      <c r="J15" s="46">
        <v>81.900000000000006</v>
      </c>
      <c r="K15" s="46">
        <v>7.43</v>
      </c>
      <c r="L15" s="46">
        <v>31.2</v>
      </c>
      <c r="M15" s="46">
        <v>14</v>
      </c>
      <c r="N15" s="46">
        <v>1.46</v>
      </c>
      <c r="O15" s="46">
        <v>79.400000000000006</v>
      </c>
      <c r="P15" s="46">
        <v>20.6</v>
      </c>
      <c r="Q15" s="46">
        <v>61.5</v>
      </c>
      <c r="R15" s="46">
        <v>1.1499999999999999</v>
      </c>
      <c r="S15" s="46">
        <v>23.6</v>
      </c>
      <c r="T15" s="46">
        <v>95.3</v>
      </c>
      <c r="U15" s="46">
        <v>100</v>
      </c>
      <c r="V15" s="46">
        <v>68.3</v>
      </c>
    </row>
    <row r="16" spans="1:22" x14ac:dyDescent="0.2">
      <c r="A16" s="35" t="s">
        <v>313</v>
      </c>
      <c r="B16" s="46">
        <v>45.4</v>
      </c>
      <c r="C16" s="46">
        <v>46.7</v>
      </c>
      <c r="D16" s="46">
        <v>48.8</v>
      </c>
      <c r="E16" s="46">
        <v>89.4</v>
      </c>
      <c r="F16" s="46">
        <v>12.1</v>
      </c>
      <c r="G16" s="46">
        <v>86.4</v>
      </c>
      <c r="H16" s="46">
        <v>1.74</v>
      </c>
      <c r="I16" s="46">
        <v>9.7200000000000006</v>
      </c>
      <c r="J16" s="46">
        <v>82.6</v>
      </c>
      <c r="K16" s="46">
        <v>7.33</v>
      </c>
      <c r="L16" s="46">
        <v>40.9</v>
      </c>
      <c r="M16" s="46">
        <v>23</v>
      </c>
      <c r="N16" s="46">
        <v>5.39</v>
      </c>
      <c r="O16" s="46">
        <v>86</v>
      </c>
      <c r="P16" s="46">
        <v>14</v>
      </c>
      <c r="Q16" s="46">
        <v>29</v>
      </c>
      <c r="R16" s="46">
        <v>3.47</v>
      </c>
      <c r="S16" s="46">
        <v>54.4</v>
      </c>
      <c r="T16" s="46">
        <v>94.7</v>
      </c>
      <c r="U16" s="46">
        <v>100</v>
      </c>
      <c r="V16" s="46">
        <v>78</v>
      </c>
    </row>
    <row r="17" spans="1:22" ht="18" x14ac:dyDescent="0.2">
      <c r="A17" s="58" t="s">
        <v>140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x14ac:dyDescent="0.2">
      <c r="A18" s="35" t="s">
        <v>219</v>
      </c>
      <c r="B18" s="46">
        <v>42.6</v>
      </c>
      <c r="C18" s="46">
        <v>36.200000000000003</v>
      </c>
      <c r="D18" s="46">
        <v>54.5</v>
      </c>
      <c r="E18" s="46">
        <v>73.599999999999994</v>
      </c>
      <c r="F18" s="46">
        <v>14.6</v>
      </c>
      <c r="G18" s="46">
        <v>80.099999999999994</v>
      </c>
      <c r="H18" s="46">
        <v>3.83</v>
      </c>
      <c r="I18" s="46">
        <v>10.9</v>
      </c>
      <c r="J18" s="46">
        <v>75.8</v>
      </c>
      <c r="K18" s="46">
        <v>12.2</v>
      </c>
      <c r="L18" s="46">
        <v>42.2</v>
      </c>
      <c r="M18" s="46">
        <v>32.1</v>
      </c>
      <c r="N18" s="46">
        <v>19.3</v>
      </c>
      <c r="O18" s="46">
        <v>80.3</v>
      </c>
      <c r="P18" s="46">
        <v>20.3</v>
      </c>
      <c r="Q18" s="46">
        <v>70.5</v>
      </c>
      <c r="R18" s="46">
        <v>18.600000000000001</v>
      </c>
      <c r="S18" s="46">
        <v>9.2799999999999994</v>
      </c>
      <c r="T18" s="46">
        <v>87.6</v>
      </c>
      <c r="U18" s="46">
        <v>98.4</v>
      </c>
      <c r="V18" s="46">
        <v>84.1</v>
      </c>
    </row>
    <row r="19" spans="1:22" x14ac:dyDescent="0.2">
      <c r="A19" s="35" t="s">
        <v>222</v>
      </c>
      <c r="B19" s="46">
        <v>16.5</v>
      </c>
      <c r="C19" s="46">
        <v>41.5</v>
      </c>
      <c r="D19" s="46">
        <v>47.5</v>
      </c>
      <c r="E19" s="46">
        <v>69.8</v>
      </c>
      <c r="F19" s="46">
        <v>144</v>
      </c>
      <c r="G19" s="46">
        <v>79.2</v>
      </c>
      <c r="H19" s="46">
        <v>5.55</v>
      </c>
      <c r="I19" s="46">
        <v>9.2200000000000006</v>
      </c>
      <c r="J19" s="46">
        <v>73.400000000000006</v>
      </c>
      <c r="K19" s="46">
        <v>17</v>
      </c>
      <c r="L19" s="46">
        <v>29.5</v>
      </c>
      <c r="M19" s="46">
        <v>65.8</v>
      </c>
      <c r="N19" s="46">
        <v>21.1</v>
      </c>
      <c r="O19" s="46">
        <v>70.099999999999994</v>
      </c>
      <c r="P19" s="46">
        <v>29.9</v>
      </c>
      <c r="Q19" s="46">
        <v>49.3</v>
      </c>
      <c r="R19" s="46">
        <v>27.3</v>
      </c>
      <c r="S19" s="46">
        <v>22</v>
      </c>
      <c r="T19" s="46">
        <v>82.7</v>
      </c>
      <c r="U19" s="46">
        <v>99.4</v>
      </c>
      <c r="V19" s="46">
        <v>85.6</v>
      </c>
    </row>
    <row r="20" spans="1:22" x14ac:dyDescent="0.2">
      <c r="A20" s="35" t="s">
        <v>225</v>
      </c>
      <c r="B20" s="46">
        <v>40.6</v>
      </c>
      <c r="C20" s="46">
        <v>49.7</v>
      </c>
      <c r="D20" s="46">
        <v>40.5</v>
      </c>
      <c r="E20" s="46">
        <v>78</v>
      </c>
      <c r="F20" s="46">
        <v>12.9</v>
      </c>
      <c r="G20" s="46">
        <v>75</v>
      </c>
      <c r="H20" s="46">
        <v>11.1</v>
      </c>
      <c r="I20" s="46">
        <v>7.55</v>
      </c>
      <c r="J20" s="46">
        <v>70.2</v>
      </c>
      <c r="K20" s="46">
        <v>21.6</v>
      </c>
      <c r="L20" s="46">
        <v>25.8</v>
      </c>
      <c r="M20" s="46">
        <v>37.6</v>
      </c>
      <c r="N20" s="46">
        <v>13.4</v>
      </c>
      <c r="O20" s="46">
        <v>68.900000000000006</v>
      </c>
      <c r="P20" s="46">
        <v>31.1</v>
      </c>
      <c r="Q20" s="46">
        <v>19.899999999999999</v>
      </c>
      <c r="R20" s="46">
        <v>48.6</v>
      </c>
      <c r="S20" s="46">
        <v>29.8</v>
      </c>
      <c r="T20" s="46">
        <v>86.1</v>
      </c>
      <c r="U20" s="46">
        <v>99.9</v>
      </c>
      <c r="V20" s="46">
        <v>95.5</v>
      </c>
    </row>
    <row r="21" spans="1:22" x14ac:dyDescent="0.2">
      <c r="A21" s="35" t="s">
        <v>228</v>
      </c>
      <c r="B21" s="46">
        <v>19.100000000000001</v>
      </c>
      <c r="C21" s="46">
        <v>31.6</v>
      </c>
      <c r="D21" s="46">
        <v>47.6</v>
      </c>
      <c r="E21" s="46">
        <v>88.3</v>
      </c>
      <c r="F21" s="46">
        <v>15</v>
      </c>
      <c r="G21" s="46">
        <v>79.5</v>
      </c>
      <c r="H21" s="46">
        <v>3.94</v>
      </c>
      <c r="I21" s="46">
        <v>10.3</v>
      </c>
      <c r="J21" s="46">
        <v>71.8</v>
      </c>
      <c r="K21" s="46">
        <v>17.100000000000001</v>
      </c>
      <c r="L21" s="46">
        <v>37.799999999999997</v>
      </c>
      <c r="M21" s="46">
        <v>65</v>
      </c>
      <c r="N21" s="46">
        <v>5.89</v>
      </c>
      <c r="O21" s="46">
        <v>61.3</v>
      </c>
      <c r="P21" s="46">
        <v>39.299999999999997</v>
      </c>
      <c r="Q21" s="46">
        <v>36</v>
      </c>
      <c r="R21" s="46">
        <v>55.6</v>
      </c>
      <c r="S21" s="46">
        <v>7.79</v>
      </c>
      <c r="T21" s="46">
        <v>88</v>
      </c>
      <c r="U21" s="46">
        <v>99.4</v>
      </c>
      <c r="V21" s="46">
        <v>79.2</v>
      </c>
    </row>
    <row r="22" spans="1:22" x14ac:dyDescent="0.2">
      <c r="A22" s="35" t="s">
        <v>231</v>
      </c>
      <c r="B22" s="46">
        <v>24.9</v>
      </c>
      <c r="C22" s="46">
        <v>53</v>
      </c>
      <c r="D22" s="46">
        <v>37.799999999999997</v>
      </c>
      <c r="E22" s="46">
        <v>92.2</v>
      </c>
      <c r="F22" s="46">
        <v>13.9</v>
      </c>
      <c r="G22" s="46">
        <v>75.900000000000006</v>
      </c>
      <c r="H22" s="46">
        <v>8.4499999999999993</v>
      </c>
      <c r="I22" s="46">
        <v>12.8</v>
      </c>
      <c r="J22" s="46">
        <v>64.8</v>
      </c>
      <c r="K22" s="46">
        <v>21.4</v>
      </c>
      <c r="L22" s="46">
        <v>22.7</v>
      </c>
      <c r="M22" s="46">
        <v>57.9</v>
      </c>
      <c r="N22" s="46">
        <v>3.95</v>
      </c>
      <c r="O22" s="46">
        <v>78.400000000000006</v>
      </c>
      <c r="P22" s="46">
        <v>22.2</v>
      </c>
      <c r="Q22" s="46">
        <v>48.2</v>
      </c>
      <c r="R22" s="46">
        <v>44.7</v>
      </c>
      <c r="S22" s="46">
        <v>6.62</v>
      </c>
      <c r="T22" s="46">
        <v>86.5</v>
      </c>
      <c r="U22" s="46">
        <v>99.1</v>
      </c>
      <c r="V22" s="46">
        <v>78.400000000000006</v>
      </c>
    </row>
    <row r="23" spans="1:22" x14ac:dyDescent="0.2">
      <c r="A23" s="35" t="s">
        <v>234</v>
      </c>
      <c r="B23" s="46">
        <v>27.3</v>
      </c>
      <c r="C23" s="46">
        <v>48.4</v>
      </c>
      <c r="D23" s="46">
        <v>36.299999999999997</v>
      </c>
      <c r="E23" s="46">
        <v>83.4</v>
      </c>
      <c r="F23" s="46">
        <v>9.93</v>
      </c>
      <c r="G23" s="46">
        <v>84.6</v>
      </c>
      <c r="H23" s="46">
        <v>4.3899999999999997</v>
      </c>
      <c r="I23" s="46">
        <v>11.6</v>
      </c>
      <c r="J23" s="46">
        <v>67.2</v>
      </c>
      <c r="K23" s="46">
        <v>20.100000000000001</v>
      </c>
      <c r="L23" s="46">
        <v>24.5</v>
      </c>
      <c r="M23" s="46">
        <v>54</v>
      </c>
      <c r="N23" s="46">
        <v>11.4</v>
      </c>
      <c r="O23" s="46">
        <v>83.2</v>
      </c>
      <c r="P23" s="46">
        <v>17.399999999999999</v>
      </c>
      <c r="Q23" s="46">
        <v>29.9</v>
      </c>
      <c r="R23" s="46">
        <v>60</v>
      </c>
      <c r="S23" s="46">
        <v>6.68</v>
      </c>
      <c r="T23" s="46">
        <v>86.1</v>
      </c>
      <c r="U23" s="46">
        <v>99.6</v>
      </c>
      <c r="V23" s="46">
        <v>90.6</v>
      </c>
    </row>
    <row r="24" spans="1:22" ht="18" x14ac:dyDescent="0.2">
      <c r="A24" s="58" t="s">
        <v>162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x14ac:dyDescent="0.2">
      <c r="A25" s="35" t="s">
        <v>254</v>
      </c>
      <c r="B25" s="46">
        <v>22.7</v>
      </c>
      <c r="C25" s="46">
        <v>37.299999999999997</v>
      </c>
      <c r="D25" s="46">
        <v>39.5</v>
      </c>
      <c r="E25" s="46">
        <v>90.2</v>
      </c>
      <c r="F25" s="46">
        <v>8.1300000000000008</v>
      </c>
      <c r="G25" s="46">
        <v>86.4</v>
      </c>
      <c r="H25" s="46">
        <v>4.6399999999999997</v>
      </c>
      <c r="I25" s="46">
        <v>7.31</v>
      </c>
      <c r="J25" s="46">
        <v>72.8</v>
      </c>
      <c r="K25" s="46">
        <v>19.2</v>
      </c>
      <c r="L25" s="46">
        <v>43.6</v>
      </c>
      <c r="M25" s="46">
        <v>55.5</v>
      </c>
      <c r="N25" s="46">
        <v>3.28</v>
      </c>
      <c r="O25" s="46">
        <v>68.599999999999994</v>
      </c>
      <c r="P25" s="46">
        <v>31.4</v>
      </c>
      <c r="Q25" s="46">
        <v>8.9700000000000006</v>
      </c>
      <c r="R25" s="46">
        <v>69.7</v>
      </c>
      <c r="S25" s="46">
        <v>18.899999999999999</v>
      </c>
      <c r="T25" s="46">
        <v>75.7</v>
      </c>
      <c r="U25" s="46">
        <v>99.9</v>
      </c>
      <c r="V25" s="46">
        <v>98.3</v>
      </c>
    </row>
    <row r="26" spans="1:22" x14ac:dyDescent="0.2">
      <c r="A26" s="35" t="s">
        <v>257</v>
      </c>
      <c r="B26" s="46">
        <v>40.5</v>
      </c>
      <c r="C26" s="46">
        <v>35.200000000000003</v>
      </c>
      <c r="D26" s="46">
        <v>56</v>
      </c>
      <c r="E26" s="46">
        <v>82.2</v>
      </c>
      <c r="F26" s="46">
        <v>5.99</v>
      </c>
      <c r="G26" s="46">
        <v>92.5</v>
      </c>
      <c r="H26" s="46">
        <v>1.1499999999999999</v>
      </c>
      <c r="I26" s="46">
        <v>4.71</v>
      </c>
      <c r="J26" s="46">
        <v>79.2</v>
      </c>
      <c r="K26" s="46">
        <v>15.7</v>
      </c>
      <c r="L26" s="46">
        <v>45.2</v>
      </c>
      <c r="M26" s="46">
        <v>35.1</v>
      </c>
      <c r="N26" s="46">
        <v>10.9</v>
      </c>
      <c r="O26" s="46">
        <v>67.3</v>
      </c>
      <c r="P26" s="46">
        <v>32.700000000000003</v>
      </c>
      <c r="Q26" s="46">
        <v>10.4</v>
      </c>
      <c r="R26" s="46">
        <v>17.3</v>
      </c>
      <c r="S26" s="46">
        <v>69</v>
      </c>
      <c r="T26" s="46">
        <v>57.4</v>
      </c>
      <c r="U26" s="46">
        <v>99.3</v>
      </c>
      <c r="V26" s="46">
        <v>92.7</v>
      </c>
    </row>
    <row r="27" spans="1:22" x14ac:dyDescent="0.2">
      <c r="A27" s="35" t="s">
        <v>260</v>
      </c>
      <c r="B27" s="46">
        <v>22</v>
      </c>
      <c r="C27" s="46">
        <v>34.799999999999997</v>
      </c>
      <c r="D27" s="46">
        <v>51</v>
      </c>
      <c r="E27" s="46">
        <v>83.7</v>
      </c>
      <c r="F27" s="46">
        <v>19.7</v>
      </c>
      <c r="G27" s="46">
        <v>70.599999999999994</v>
      </c>
      <c r="H27" s="46">
        <v>9.33</v>
      </c>
      <c r="I27" s="46">
        <v>9.06</v>
      </c>
      <c r="J27" s="46">
        <v>7.6</v>
      </c>
      <c r="K27" s="46">
        <v>16.2</v>
      </c>
      <c r="L27" s="46">
        <v>39.200000000000003</v>
      </c>
      <c r="M27" s="46">
        <v>58</v>
      </c>
      <c r="N27" s="46">
        <v>9.4</v>
      </c>
      <c r="O27" s="46">
        <v>56.1</v>
      </c>
      <c r="P27" s="46">
        <v>44.7</v>
      </c>
      <c r="Q27" s="46">
        <v>37.1</v>
      </c>
      <c r="R27" s="46">
        <v>49</v>
      </c>
      <c r="S27" s="46">
        <v>11.4</v>
      </c>
      <c r="T27" s="46">
        <v>71.400000000000006</v>
      </c>
      <c r="U27" s="46">
        <v>97</v>
      </c>
      <c r="V27" s="46">
        <v>80.099999999999994</v>
      </c>
    </row>
    <row r="28" spans="1:22" x14ac:dyDescent="0.2">
      <c r="A28" s="35" t="s">
        <v>263</v>
      </c>
      <c r="B28" s="46">
        <v>25.2</v>
      </c>
      <c r="C28" s="46">
        <v>40.200000000000003</v>
      </c>
      <c r="D28" s="46">
        <v>44.6</v>
      </c>
      <c r="E28" s="46">
        <v>80.400000000000006</v>
      </c>
      <c r="F28" s="46">
        <v>18.5</v>
      </c>
      <c r="G28" s="46">
        <v>75.7</v>
      </c>
      <c r="H28" s="46">
        <v>6.39</v>
      </c>
      <c r="I28" s="46">
        <v>11.3</v>
      </c>
      <c r="J28" s="46">
        <v>75.099999999999994</v>
      </c>
      <c r="K28" s="46">
        <v>13</v>
      </c>
      <c r="L28" s="46">
        <v>32.4</v>
      </c>
      <c r="M28" s="46">
        <v>47.9</v>
      </c>
      <c r="N28" s="46">
        <v>12.1</v>
      </c>
      <c r="O28" s="46">
        <v>77.7</v>
      </c>
      <c r="P28" s="46">
        <v>23.2</v>
      </c>
      <c r="Q28" s="46">
        <v>40.1</v>
      </c>
      <c r="R28" s="46">
        <v>45.9</v>
      </c>
      <c r="S28" s="46">
        <v>13.4</v>
      </c>
      <c r="T28" s="46">
        <v>94.2</v>
      </c>
      <c r="U28" s="46">
        <v>99.6</v>
      </c>
      <c r="V28" s="46">
        <v>83.8</v>
      </c>
    </row>
    <row r="29" spans="1:22" x14ac:dyDescent="0.2">
      <c r="A29" s="35" t="s">
        <v>266</v>
      </c>
      <c r="B29" s="46">
        <v>52.4</v>
      </c>
      <c r="C29" s="46">
        <v>49.3</v>
      </c>
      <c r="D29" s="46">
        <v>39</v>
      </c>
      <c r="E29" s="46">
        <v>74.3</v>
      </c>
      <c r="F29" s="46">
        <v>13.4</v>
      </c>
      <c r="G29" s="46">
        <v>83</v>
      </c>
      <c r="H29" s="46">
        <v>2.77</v>
      </c>
      <c r="I29" s="46">
        <v>13.5</v>
      </c>
      <c r="J29" s="46">
        <v>76.099999999999994</v>
      </c>
      <c r="K29" s="46">
        <v>11.3</v>
      </c>
      <c r="L29" s="46">
        <v>29.5</v>
      </c>
      <c r="M29" s="46">
        <v>17.5</v>
      </c>
      <c r="N29" s="46">
        <v>14.4</v>
      </c>
      <c r="O29" s="46">
        <v>66.3</v>
      </c>
      <c r="P29" s="46">
        <v>32.799999999999997</v>
      </c>
      <c r="Q29" s="46">
        <v>10.1</v>
      </c>
      <c r="R29" s="46">
        <v>1.81</v>
      </c>
      <c r="S29" s="46">
        <v>69.5</v>
      </c>
      <c r="T29" s="46">
        <v>96</v>
      </c>
      <c r="U29" s="46">
        <v>100</v>
      </c>
      <c r="V29" s="46">
        <v>98</v>
      </c>
    </row>
    <row r="30" spans="1:22" x14ac:dyDescent="0.2">
      <c r="A30" s="35" t="s">
        <v>269</v>
      </c>
      <c r="B30" s="46">
        <v>25.8</v>
      </c>
      <c r="C30" s="46">
        <v>25.7</v>
      </c>
      <c r="D30" s="46">
        <v>61.3</v>
      </c>
      <c r="E30" s="46">
        <v>79.099999999999994</v>
      </c>
      <c r="F30" s="46">
        <v>13.7</v>
      </c>
      <c r="G30" s="46">
        <v>81.2</v>
      </c>
      <c r="H30" s="46">
        <v>4.1900000000000004</v>
      </c>
      <c r="I30" s="46">
        <v>8.4600000000000009</v>
      </c>
      <c r="J30" s="46">
        <v>81.099999999999994</v>
      </c>
      <c r="K30" s="46">
        <v>10.7</v>
      </c>
      <c r="L30" s="46">
        <v>52</v>
      </c>
      <c r="M30" s="46">
        <v>46.1</v>
      </c>
      <c r="N30" s="46">
        <v>12.8</v>
      </c>
      <c r="O30" s="46">
        <v>77.900000000000006</v>
      </c>
      <c r="P30" s="46">
        <v>22.1</v>
      </c>
      <c r="Q30" s="46">
        <v>17.2</v>
      </c>
      <c r="R30" s="46">
        <v>73.7</v>
      </c>
      <c r="S30" s="46">
        <v>7.29</v>
      </c>
      <c r="T30" s="46">
        <v>89.7</v>
      </c>
      <c r="U30" s="46">
        <v>99.6</v>
      </c>
      <c r="V30" s="46">
        <v>86.1</v>
      </c>
    </row>
    <row r="31" spans="1:22" x14ac:dyDescent="0.2">
      <c r="A31" s="3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2</vt:lpstr>
      <vt:lpstr>Figure 3</vt:lpstr>
      <vt:lpstr>Figure 4</vt:lpstr>
      <vt:lpstr>Definitions Panel 1 Leuko</vt:lpstr>
      <vt:lpstr>Definitions Panel 2 T cells</vt:lpstr>
      <vt:lpstr>CBC ranges</vt:lpstr>
      <vt:lpstr>38248-Leuk</vt:lpstr>
      <vt:lpstr>38275-Leuk</vt:lpstr>
      <vt:lpstr>38276-Leuk</vt:lpstr>
      <vt:lpstr>38317-Leuk</vt:lpstr>
      <vt:lpstr>38221-Leuk</vt:lpstr>
      <vt:lpstr>38242-Leuk</vt:lpstr>
      <vt:lpstr>38362-Leuk</vt:lpstr>
      <vt:lpstr>38371-Leuk</vt:lpstr>
      <vt:lpstr>38395-Leuk</vt:lpstr>
      <vt:lpstr>38423-Leuk</vt:lpstr>
      <vt:lpstr>Figure 6</vt:lpstr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Shapiro</dc:creator>
  <cp:lastModifiedBy>Nancy Haigwood</cp:lastModifiedBy>
  <cp:lastPrinted>2019-05-01T00:48:03Z</cp:lastPrinted>
  <dcterms:created xsi:type="dcterms:W3CDTF">2019-04-03T23:56:33Z</dcterms:created>
  <dcterms:modified xsi:type="dcterms:W3CDTF">2024-08-11T16:33:20Z</dcterms:modified>
</cp:coreProperties>
</file>